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mc:AlternateContent xmlns:mc="http://schemas.openxmlformats.org/markup-compatibility/2006">
    <mc:Choice Requires="x15">
      <x15ac:absPath xmlns:x15ac="http://schemas.microsoft.com/office/spreadsheetml/2010/11/ac" url="https://cde2.sharepoint.com/sites/Compliance/Shared Documents/General/00_Frameworks/Conflict Minerals/"/>
    </mc:Choice>
  </mc:AlternateContent>
  <xr:revisionPtr revIDLastSave="45" documentId="8_{ED79BD3C-EA96-4306-A45B-F9D63F99F642}" xr6:coauthVersionLast="45" xr6:coauthVersionMax="45" xr10:uidLastSave="{4CD4A432-54D4-46F7-BA83-990B434B6BE6}"/>
  <bookViews>
    <workbookView xWindow="-98" yWindow="-98" windowWidth="28066" windowHeight="16395"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I8" i="5"/>
  <c r="I7" i="5"/>
  <c r="H8" i="5"/>
  <c r="H7" i="5"/>
  <c r="G8" i="5"/>
  <c r="G7" i="5"/>
  <c r="F8" i="5"/>
  <c r="F7" i="5"/>
  <c r="E8" i="5"/>
  <c r="E7" i="5"/>
  <c r="B8" i="5"/>
  <c r="B7" i="5"/>
  <c r="C8" i="5"/>
  <c r="C7"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s="1"/>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B43" i="4" s="1"/>
  <c r="A29" i="6" s="1"/>
  <c r="P31" i="4"/>
  <c r="P29" i="4"/>
  <c r="P28" i="4"/>
  <c r="P27" i="4"/>
  <c r="P26" i="4"/>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G5" i="6"/>
  <c r="H5" i="6" s="1"/>
  <c r="D5" i="6" s="1"/>
  <c r="G6" i="6"/>
  <c r="H6" i="6"/>
  <c r="B32" i="4"/>
  <c r="B50" i="4" s="1"/>
  <c r="A35" i="6" s="1"/>
  <c r="B77" i="4"/>
  <c r="A54" i="6" s="1"/>
  <c r="B69" i="4"/>
  <c r="A49" i="6" s="1"/>
  <c r="B73" i="4"/>
  <c r="A51" i="6" s="1"/>
  <c r="B65" i="4"/>
  <c r="A47" i="6" s="1"/>
  <c r="G15" i="6"/>
  <c r="H15" i="6" s="1"/>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B26" i="4"/>
  <c r="A15" i="6" s="1"/>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E4" i="8"/>
  <c r="I56" i="6"/>
  <c r="J56" i="6"/>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6" i="6"/>
  <c r="S42" i="5"/>
  <c r="H754" i="5"/>
  <c r="R1426" i="5"/>
  <c r="R186" i="5"/>
  <c r="R666" i="5"/>
  <c r="H1314" i="5"/>
  <c r="I714" i="5"/>
  <c r="R1666" i="5"/>
  <c r="G1674" i="5"/>
  <c r="E2458" i="5"/>
  <c r="X2458" i="5" s="1"/>
  <c r="S34" i="5"/>
  <c r="S18" i="5"/>
  <c r="S10" i="5"/>
  <c r="B55" i="4" l="1"/>
  <c r="A39" i="6" s="1"/>
  <c r="B37" i="4"/>
  <c r="A24" i="6" s="1"/>
  <c r="B31" i="4"/>
  <c r="A19" i="6" s="1"/>
  <c r="B49" i="4"/>
  <c r="A34" i="6" s="1"/>
  <c r="C56" i="6"/>
  <c r="B6" i="5"/>
  <c r="B5" i="5"/>
  <c r="C5" i="5"/>
  <c r="C6" i="5"/>
  <c r="D15" i="6"/>
  <c r="K57" i="6"/>
  <c r="F30" i="6"/>
  <c r="H30" i="6" s="1"/>
  <c r="D30" i="6" s="1"/>
  <c r="F25" i="6"/>
  <c r="H25" i="6" s="1"/>
  <c r="D25" i="6" s="1"/>
  <c r="F35" i="6"/>
  <c r="H35" i="6" s="1"/>
  <c r="D35" i="6" s="1"/>
  <c r="F45" i="6"/>
  <c r="H20" i="6"/>
  <c r="D20" i="6" s="1"/>
  <c r="F40" i="6"/>
  <c r="H40" i="6" s="1"/>
  <c r="D40" i="6" s="1"/>
  <c r="C15" i="6"/>
  <c r="C13" i="6"/>
  <c r="C12" i="6"/>
  <c r="C11" i="6"/>
  <c r="C10" i="6"/>
  <c r="C9" i="6"/>
  <c r="C8" i="6"/>
  <c r="C7" i="6"/>
  <c r="C5" i="6"/>
  <c r="C6"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30" i="6" l="1"/>
  <c r="C35" i="6"/>
  <c r="E6" i="5"/>
  <c r="J6" i="5"/>
  <c r="F6" i="5"/>
  <c r="H6" i="5"/>
  <c r="I6" i="5"/>
  <c r="G6" i="5"/>
  <c r="F60" i="6"/>
  <c r="F57" i="6"/>
  <c r="B2" i="6" s="1"/>
  <c r="F47" i="6"/>
  <c r="H47" i="6" s="1"/>
  <c r="H45" i="6"/>
  <c r="F54" i="6"/>
  <c r="H54" i="6" s="1"/>
  <c r="F53" i="6"/>
  <c r="H53" i="6" s="1"/>
  <c r="F50" i="6"/>
  <c r="H50" i="6" s="1"/>
  <c r="F46" i="6"/>
  <c r="H46" i="6" s="1"/>
  <c r="F49" i="6"/>
  <c r="H49" i="6" s="1"/>
  <c r="F59" i="6"/>
  <c r="F58" i="6"/>
  <c r="F48" i="6"/>
  <c r="H48" i="6" s="1"/>
  <c r="F55" i="6"/>
  <c r="H55" i="6" s="1"/>
  <c r="F51" i="6"/>
  <c r="H51" i="6" s="1"/>
  <c r="C20" i="6"/>
  <c r="C25" i="6"/>
  <c r="C40" i="6"/>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51" i="6" l="1"/>
  <c r="C51" i="6"/>
  <c r="D55" i="6"/>
  <c r="C55" i="6"/>
  <c r="D48" i="6"/>
  <c r="C48" i="6"/>
  <c r="D49" i="6"/>
  <c r="C49" i="6"/>
  <c r="D46" i="6"/>
  <c r="C46" i="6"/>
  <c r="D50" i="6"/>
  <c r="C50" i="6"/>
  <c r="D53" i="6"/>
  <c r="C53" i="6"/>
  <c r="D54" i="6"/>
  <c r="C54" i="6"/>
  <c r="D45" i="6"/>
  <c r="C45" i="6"/>
  <c r="D47" i="6"/>
  <c r="C47" i="6"/>
  <c r="X6" i="5"/>
  <c r="X8" i="5"/>
  <c r="S7" i="5"/>
  <c r="S6" i="5"/>
  <c r="G59" i="6" l="1"/>
  <c r="G60" i="6"/>
  <c r="F61" i="6"/>
  <c r="G58" i="6"/>
  <c r="H59" i="6"/>
  <c r="H60" i="6" l="1"/>
  <c r="AB5" i="5"/>
  <c r="C61" i="6"/>
  <c r="H57" i="6"/>
  <c r="V5" i="5"/>
  <c r="G57" i="6"/>
  <c r="C57" i="6" s="1"/>
  <c r="H58" i="6"/>
  <c r="F5" i="5" l="1"/>
  <c r="E5" i="5"/>
  <c r="J5" i="5"/>
  <c r="H5" i="5"/>
  <c r="I5" i="5"/>
  <c r="G5" i="5"/>
  <c r="R5" i="5"/>
  <c r="H62" i="6"/>
  <c r="D2" i="6" s="1"/>
  <c r="D57" i="6"/>
  <c r="S5" i="5"/>
  <c r="T5" i="5"/>
  <c r="X5" i="5" l="1"/>
  <c r="G61" i="6" s="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<sst xmlns="http://schemas.openxmlformats.org/spreadsheetml/2006/main" count="17035" uniqueCount="14053">
  <si>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</si>
  <si>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</si>
  <si>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</si>
  <si>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</si>
  <si>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</si>
  <si>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</si>
  <si>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</si>
  <si>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</si>
  <si>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</si>
  <si>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</si>
  <si>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</si>
  <si>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</si>
  <si>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</si>
  <si>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</si>
  <si>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</si>
  <si>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</si>
  <si>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</si>
  <si>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</si>
  <si>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</si>
  <si>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</si>
  <si>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</si>
  <si>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</si>
  <si>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</si>
  <si>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</si>
  <si>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</si>
  <si>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</si>
  <si>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</si>
  <si>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</si>
  <si>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</si>
  <si>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</si>
  <si>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</si>
  <si>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</si>
  <si>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</si>
  <si>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</si>
  <si>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</si>
  <si>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</si>
  <si>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</si>
  <si>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</si>
  <si>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</si>
  <si>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</si>
  <si>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</si>
  <si>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</si>
  <si>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</si>
  <si>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</si>
  <si>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</si>
  <si>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</si>
  <si>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</si>
  <si>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</si>
  <si>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</si>
  <si>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</si>
  <si>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</si>
  <si>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</si>
  <si>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</si>
  <si>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</si>
  <si>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</si>
  <si>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</si>
  <si>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</si>
  <si>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</si>
  <si>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</si>
  <si>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</si>
  <si>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</si>
  <si>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</si>
  <si>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</si>
  <si>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</si>
  <si>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</si>
  <si>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</si>
  <si>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</si>
  <si>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</si>
  <si>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</si>
  <si>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</si>
  <si>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</si>
  <si>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</si>
  <si>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</si>
  <si>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</si>
  <si>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</si>
  <si>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</si>
  <si>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</si>
  <si>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</si>
  <si>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</si>
  <si>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</si>
  <si>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</si>
  <si>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</si>
  <si>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</si>
  <si>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</si>
  <si>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</si>
  <si>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</si>
  <si>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</si>
  <si>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</si>
  <si>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</si>
  <si>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</si>
  <si>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</si>
  <si>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</si>
  <si>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</si>
  <si>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</si>
  <si>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</si>
  <si>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</si>
  <si>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</si>
  <si>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</si>
  <si>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</si>
  <si>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</si>
  <si>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</si>
  <si>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</si>
  <si>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</si>
  <si>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</si>
  <si>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</si>
  <si>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</si>
  <si>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</si>
  <si>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</si>
  <si>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</si>
  <si>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</si>
  <si>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</si>
  <si>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</si>
  <si>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</si>
  <si>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</si>
  <si>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</si>
  <si>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</si>
  <si>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</si>
  <si>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</si>
  <si>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</si>
  <si>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</si>
  <si>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</si>
  <si>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</si>
  <si>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</si>
  <si>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</si>
  <si>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</si>
  <si>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</si>
  <si>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</si>
  <si>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</si>
  <si>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</si>
  <si>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</si>
  <si>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</si>
  <si>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</si>
  <si>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</si>
  <si>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</si>
  <si>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</si>
  <si>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</si>
  <si>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</si>
  <si>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</si>
  <si>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</si>
  <si>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</si>
  <si>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</si>
  <si>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</si>
  <si>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</si>
  <si>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</si>
  <si>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</si>
  <si>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</si>
  <si>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</si>
  <si>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</si>
  <si>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</si>
  <si>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</si>
  <si>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</si>
  <si>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</si>
  <si>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</si>
  <si>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</si>
  <si>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</si>
  <si>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</si>
  <si>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</si>
  <si>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</si>
  <si>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</si>
  <si>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</si>
  <si>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</si>
  <si>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</si>
  <si>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</si>
  <si>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</si>
  <si>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</si>
  <si>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</si>
  <si>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</si>
  <si>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</si>
  <si>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</si>
  <si>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</si>
  <si>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</si>
  <si>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</si>
  <si>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</si>
  <si>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</si>
  <si>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</si>
  <si>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</si>
  <si>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</si>
  <si>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</si>
  <si>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</si>
  <si>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</si>
  <si>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</si>
  <si>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</si>
  <si>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</si>
  <si>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</si>
  <si>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</si>
  <si>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</si>
  <si>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</si>
  <si>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</si>
  <si>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</si>
  <si>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</si>
  <si>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</si>
  <si>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</si>
  <si>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</si>
  <si>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</si>
  <si>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</si>
  <si>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</si>
  <si>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</si>
  <si>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</si>
  <si>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</si>
  <si>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</si>
  <si>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</si>
  <si>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</si>
  <si>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</si>
  <si>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</si>
  <si>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</si>
  <si>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</si>
  <si>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</si>
  <si>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</si>
  <si>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</si>
  <si>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</si>
  <si>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</si>
  <si>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</si>
  <si>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</si>
  <si>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</si>
  <si>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</si>
  <si>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</si>
  <si>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</si>
  <si>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</si>
  <si>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</si>
  <si>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</si>
  <si>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</si>
  <si>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</si>
  <si>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</si>
  <si>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</si>
  <si>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</si>
  <si>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</si>
  <si>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</si>
  <si>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</si>
  <si>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</si>
  <si>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</si>
  <si>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</si>
  <si>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</si>
  <si>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</si>
  <si>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</si>
  <si>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</si>
  <si>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</si>
  <si>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</si>
  <si>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</si>
  <si>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</si>
  <si>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</si>
  <si>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</si>
  <si>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</si>
  <si>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</si>
  <si>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</si>
  <si>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</si>
  <si>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</si>
  <si>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</si>
  <si>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</si>
  <si>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</si>
  <si>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</si>
  <si>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</si>
  <si>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</si>
  <si>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</si>
  <si>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</si>
  <si>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</si>
  <si>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</si>
  <si>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</si>
  <si>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</si>
  <si>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</si>
  <si>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</si>
  <si>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</si>
  <si>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</si>
  <si>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</si>
  <si>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</si>
  <si>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</si>
  <si>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</si>
  <si>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</si>
  <si>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</si>
  <si>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</si>
  <si>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</si>
  <si>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</si>
  <si>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</si>
  <si>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</si>
  <si>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</si>
  <si>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</si>
  <si>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</si>
  <si>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</si>
  <si>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</si>
  <si>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</si>
  <si>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</si>
  <si>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</si>
  <si>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</si>
  <si>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</si>
  <si>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</si>
  <si>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</si>
  <si>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</si>
  <si>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</si>
  <si>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</si>
  <si>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</si>
  <si>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</si>
  <si>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</si>
  <si>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</si>
  <si>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</si>
  <si>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</si>
  <si>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</si>
  <si>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</si>
  <si>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</si>
  <si>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</si>
  <si>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</si>
  <si>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</si>
  <si>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</si>
  <si>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</si>
  <si>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</si>
  <si>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</si>
  <si>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</si>
  <si>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</si>
  <si>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</si>
  <si>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</si>
  <si>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</si>
  <si>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</si>
  <si>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</si>
  <si>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</si>
  <si>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</si>
  <si>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</si>
  <si>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</si>
  <si>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</si>
  <si>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</si>
  <si>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</si>
  <si>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</si>
  <si>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</si>
  <si>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</si>
  <si>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</si>
  <si>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</si>
  <si>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</si>
  <si>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</si>
  <si>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</si>
  <si>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</si>
  <si>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</si>
  <si>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</si>
  <si>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</si>
  <si>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</si>
  <si>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</si>
  <si>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</si>
  <si>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</si>
  <si>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</si>
  <si>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</si>
  <si>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</si>
  <si>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</si>
  <si>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</si>
  <si>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</si>
  <si>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</si>
  <si>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</si>
  <si>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</si>
  <si>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</si>
  <si>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</si>
  <si>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</si>
  <si>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</si>
  <si>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</si>
  <si>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</si>
  <si>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</si>
  <si>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</si>
  <si>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</si>
  <si>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</si>
  <si>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</si>
  <si>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</si>
  <si>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</si>
  <si>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</si>
  <si>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</si>
  <si>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</si>
  <si>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</si>
  <si>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</si>
  <si>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</si>
  <si>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</si>
  <si>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</si>
  <si>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</si>
  <si>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</si>
  <si>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</si>
  <si>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</si>
  <si>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</si>
  <si>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</si>
  <si>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</si>
  <si>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</si>
  <si>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</si>
  <si>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</si>
  <si>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</si>
  <si>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</si>
  <si>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</si>
  <si>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</si>
  <si>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</si>
  <si>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</si>
  <si>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</si>
  <si>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</si>
  <si>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</si>
  <si>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</si>
  <si>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</si>
  <si>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</si>
  <si>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</si>
  <si>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</si>
  <si>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</si>
  <si>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</si>
  <si>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</si>
  <si>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</si>
  <si>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</si>
  <si>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</si>
  <si>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</si>
  <si>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</si>
  <si>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</si>
  <si>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</si>
  <si>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</si>
  <si>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</si>
  <si>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</si>
  <si>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</si>
  <si>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</si>
  <si>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</si>
  <si>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</si>
  <si>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</si>
  <si>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</si>
  <si>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</si>
  <si>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</si>
  <si>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</si>
  <si>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</si>
  <si>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</si>
  <si>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</si>
  <si>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</si>
  <si>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</si>
  <si>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</si>
  <si>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</si>
  <si>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</si>
  <si>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</si>
  <si>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</si>
  <si>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</si>
  <si>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</si>
  <si>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</si>
  <si>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</si>
  <si>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</si>
  <si>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</si>
  <si>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</si>
  <si>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</si>
  <si>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</si>
  <si>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</si>
  <si>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</si>
  <si>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</si>
  <si>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</si>
  <si>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</si>
  <si>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</si>
  <si>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</si>
  <si>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</si>
  <si>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</si>
  <si>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</si>
  <si>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</si>
  <si>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</si>
  <si>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</si>
  <si>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</si>
  <si>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</si>
  <si>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</si>
  <si>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</si>
  <si>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</si>
  <si>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</si>
  <si>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</si>
  <si>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</si>
  <si>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</si>
  <si>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</si>
  <si>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</si>
  <si>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</si>
  <si>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</si>
  <si>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</si>
  <si>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</si>
  <si>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</si>
  <si>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</si>
  <si>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</si>
  <si>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</si>
  <si>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</si>
  <si>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</si>
  <si>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</si>
  <si>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</si>
  <si>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</si>
  <si>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</si>
  <si>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</si>
  <si>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</si>
  <si>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</si>
  <si>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</si>
  <si>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</si>
  <si>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</si>
  <si>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</si>
  <si>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</si>
  <si>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</si>
  <si>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</si>
  <si>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</si>
  <si>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</si>
  <si>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</si>
  <si>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</si>
  <si>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</si>
  <si>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</si>
  <si>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</si>
  <si>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</si>
  <si>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</si>
  <si>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</si>
  <si>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</si>
  <si>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</si>
  <si>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</si>
  <si>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</si>
  <si>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</si>
  <si>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</si>
  <si>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</si>
  <si>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</si>
  <si>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</si>
  <si>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</si>
  <si>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</si>
  <si>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</si>
  <si>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</si>
  <si>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</si>
  <si>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</si>
  <si>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</si>
  <si>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</si>
  <si>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</si>
  <si>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</si>
  <si>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</si>
  <si>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</si>
  <si>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</si>
  <si>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</si>
  <si>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</si>
  <si>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</si>
  <si>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</si>
  <si>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</si>
  <si>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</si>
  <si>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</si>
  <si>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</si>
  <si>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</si>
  <si>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</si>
  <si>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</si>
  <si>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</si>
  <si>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</si>
  <si>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</si>
  <si>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</si>
  <si>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</si>
  <si>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</si>
  <si>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</si>
  <si>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</si>
  <si>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</si>
  <si>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</si>
  <si>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</si>
  <si>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</si>
  <si>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</si>
  <si>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</si>
  <si>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</si>
  <si>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</si>
  <si>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</si>
  <si>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</si>
  <si>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</si>
  <si>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</si>
  <si>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</si>
  <si>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</si>
  <si>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</si>
  <si>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</si>
  <si>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</si>
  <si>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</si>
  <si>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</si>
  <si>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</si>
  <si>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</si>
  <si>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</si>
  <si>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</si>
  <si>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</si>
  <si>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</si>
  <si>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</si>
  <si>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</si>
  <si>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</si>
  <si>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</si>
  <si>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</si>
  <si>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</si>
  <si>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</si>
  <si>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</si>
  <si>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</si>
  <si>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</si>
  <si>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</si>
  <si>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</si>
  <si>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</si>
  <si>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</si>
  <si>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</si>
  <si>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</si>
  <si>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</si>
  <si>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</si>
  <si>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</si>
  <si>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</si>
  <si>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</si>
  <si>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</si>
  <si>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</si>
  <si>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</si>
  <si>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</si>
  <si>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</si>
  <si>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</si>
  <si>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</si>
  <si>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</si>
  <si>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</si>
  <si>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</si>
  <si>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</si>
  <si>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</si>
  <si>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</si>
  <si>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</si>
  <si>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</si>
  <si>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</si>
  <si>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</si>
  <si>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</si>
  <si>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</si>
  <si>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</si>
  <si>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</si>
  <si>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</si>
  <si>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</si>
  <si>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</si>
  <si>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</si>
  <si>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</si>
  <si>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</si>
  <si>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</si>
  <si>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</si>
  <si>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</si>
  <si>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</si>
  <si>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</si>
  <si>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</si>
  <si>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</si>
  <si>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</si>
  <si>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</si>
  <si>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</si>
  <si>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</si>
  <si>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</si>
  <si>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</si>
  <si>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</si>
  <si>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</si>
  <si>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</si>
  <si>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</si>
  <si>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</si>
  <si>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</si>
  <si>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</si>
  <si>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</si>
  <si>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</si>
  <si>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</si>
  <si>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</si>
  <si>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</si>
  <si>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</si>
  <si>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</si>
  <si>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</si>
  <si>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</si>
  <si>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</si>
  <si>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</si>
  <si>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</si>
  <si>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</si>
  <si>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</si>
  <si>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</si>
  <si>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</si>
  <si>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</si>
  <si>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</si>
  <si>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</si>
  <si>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</si>
  <si>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</si>
  <si>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</si>
  <si>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</si>
  <si>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</si>
  <si>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</si>
  <si>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</si>
  <si>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</si>
  <si>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</si>
  <si>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</si>
  <si>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</si>
  <si>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</si>
  <si>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</si>
  <si>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</si>
  <si>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</si>
  <si>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</si>
  <si>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</si>
  <si>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</si>
  <si>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</si>
  <si>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</si>
  <si>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</si>
  <si>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</si>
  <si>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</si>
  <si>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</si>
  <si>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</si>
  <si>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</si>
  <si>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</si>
  <si>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</si>
  <si>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</si>
  <si>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</si>
  <si>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</si>
  <si>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</si>
  <si>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</si>
  <si>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</si>
  <si>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</si>
  <si>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</si>
  <si>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</si>
  <si>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</si>
  <si>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</si>
  <si>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</si>
  <si>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</si>
  <si>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</si>
  <si>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</si>
  <si>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</si>
  <si>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</si>
  <si>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</si>
  <si>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</si>
  <si>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</si>
  <si>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</si>
  <si>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</si>
  <si>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</si>
  <si>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</si>
  <si>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</si>
  <si>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</si>
  <si>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</si>
  <si>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</si>
  <si>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</si>
  <si>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</si>
  <si>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</si>
  <si>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</si>
  <si>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</si>
  <si>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</si>
  <si>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</si>
  <si>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</si>
  <si>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</si>
  <si>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</si>
  <si>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</si>
  <si>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</si>
  <si>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</si>
  <si>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</si>
  <si>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</si>
  <si>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</si>
  <si>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</si>
  <si>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</si>
  <si>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</si>
  <si>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</si>
  <si>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</si>
  <si>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</si>
  <si>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</si>
  <si>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</si>
  <si>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</si>
  <si>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</si>
  <si>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</si>
  <si>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</si>
  <si>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</si>
  <si>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</si>
  <si>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</si>
  <si>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</si>
  <si>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</si>
  <si>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</si>
  <si>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</si>
  <si>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</si>
  <si>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</si>
  <si>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</si>
  <si>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</si>
  <si>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</si>
  <si>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</si>
  <si>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</si>
  <si>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</si>
  <si>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</si>
  <si>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</si>
  <si>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</si>
  <si>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</si>
  <si>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</si>
  <si>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</si>
  <si>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</si>
  <si>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</si>
  <si>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</si>
  <si>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</si>
  <si>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</si>
  <si>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</si>
  <si>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</si>
  <si>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</si>
  <si>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</si>
  <si>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</si>
  <si>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</si>
  <si>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</si>
  <si>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</si>
  <si>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</si>
  <si>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</si>
  <si>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</si>
  <si>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</si>
  <si>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</si>
  <si>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</si>
  <si>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</si>
  <si>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</si>
  <si>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</si>
  <si>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</si>
  <si>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</si>
  <si>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</si>
  <si>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</si>
  <si>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</si>
  <si>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</si>
  <si>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</si>
  <si>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</si>
  <si>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</si>
  <si>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</si>
  <si>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</si>
  <si>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</si>
  <si>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</si>
  <si>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</si>
  <si>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</si>
  <si>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</si>
  <si>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</si>
  <si>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</si>
  <si>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</si>
  <si>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</si>
  <si>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</si>
  <si>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</si>
  <si>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</si>
  <si>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</si>
  <si>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</si>
  <si>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</si>
  <si>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</si>
  <si>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</si>
  <si>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</si>
  <si>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</si>
  <si>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</si>
  <si>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</si>
  <si>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</si>
  <si>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</si>
  <si>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</si>
  <si>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</si>
  <si>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</si>
  <si>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</si>
  <si>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</si>
  <si>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</si>
  <si>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</si>
  <si>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</si>
  <si>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</si>
  <si>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</si>
  <si>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</si>
  <si>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</si>
  <si>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</si>
  <si>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</si>
  <si>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</si>
  <si>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</si>
  <si>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</si>
  <si>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</si>
  <si>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</si>
  <si>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</si>
  <si>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</si>
  <si>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</si>
  <si>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</si>
  <si>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</si>
  <si>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</si>
  <si>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</si>
  <si>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</si>
  <si>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</si>
  <si>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</si>
  <si>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</si>
  <si>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</si>
  <si>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</si>
  <si>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</si>
  <si>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</si>
  <si>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</si>
  <si>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</si>
  <si>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</si>
  <si>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</si>
  <si>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</si>
  <si>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</si>
  <si>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</si>
  <si>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</si>
  <si>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</si>
  <si>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</si>
  <si>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</si>
  <si>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</si>
  <si>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</si>
  <si>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</si>
  <si>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</si>
  <si>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</si>
  <si>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</si>
  <si>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</si>
  <si>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</si>
  <si>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</si>
  <si>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</si>
  <si>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</si>
  <si>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</si>
  <si>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</si>
  <si>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</si>
  <si>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</si>
  <si>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</si>
  <si>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</si>
  <si>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</si>
  <si>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</si>
  <si>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</si>
  <si>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</si>
  <si>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</si>
  <si>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</si>
  <si>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</si>
  <si>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</si>
  <si>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</si>
  <si>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</si>
  <si>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</si>
  <si>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</si>
  <si>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</si>
  <si>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</si>
  <si>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</si>
  <si>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</si>
  <si>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</si>
  <si>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</si>
  <si>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</si>
  <si>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</si>
  <si>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</si>
  <si>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</si>
  <si>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</si>
  <si>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</si>
  <si>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</si>
  <si>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</si>
  <si>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</si>
  <si>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</si>
  <si>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</si>
  <si>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</si>
  <si>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</si>
  <si>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</si>
  <si>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</si>
  <si>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</si>
  <si>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</si>
  <si>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</si>
  <si>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</si>
  <si>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</si>
  <si>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</si>
  <si>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</si>
  <si>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</si>
  <si>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</si>
  <si>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</si>
  <si>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</si>
  <si>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</si>
  <si>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</si>
  <si>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</si>
  <si>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</si>
  <si>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</si>
  <si>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</si>
  <si>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</si>
  <si>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</si>
  <si>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</si>
  <si>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</si>
  <si>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</si>
  <si>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</si>
  <si>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</si>
  <si>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</si>
  <si>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</si>
  <si>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</si>
  <si>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</si>
  <si>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</si>
  <si>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</si>
  <si>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</si>
  <si>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</si>
  <si>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</si>
  <si>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</si>
  <si>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</si>
  <si>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</si>
  <si>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</si>
  <si>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</si>
  <si>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</si>
  <si>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</si>
  <si>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</si>
  <si>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</si>
  <si>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</si>
  <si>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</si>
  <si>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</si>
  <si>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</si>
  <si>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</si>
  <si>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</si>
  <si>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</si>
  <si>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</si>
  <si>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</si>
  <si>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</si>
  <si>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</si>
  <si>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</si>
  <si>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</si>
  <si>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</si>
  <si>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</si>
  <si>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</si>
  <si>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</si>
  <si>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</si>
  <si>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</si>
  <si>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</si>
  <si>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</si>
  <si>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</si>
  <si>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</si>
  <si>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</si>
  <si>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</si>
  <si>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</si>
  <si>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</si>
  <si>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</si>
  <si>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</si>
  <si>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</si>
  <si>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</si>
  <si>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</si>
  <si>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</si>
  <si>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</si>
  <si>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</si>
  <si>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</si>
  <si>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</si>
  <si>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</si>
  <si>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</si>
  <si>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</si>
  <si>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</si>
  <si>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</si>
  <si>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</si>
  <si>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</si>
  <si>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</si>
  <si>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</si>
  <si>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</si>
  <si>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</si>
  <si>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</si>
  <si>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</si>
  <si>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</si>
  <si>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</si>
  <si>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</si>
  <si>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</si>
  <si>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</si>
  <si>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</si>
  <si>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</si>
  <si>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</si>
  <si>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</si>
  <si>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</si>
  <si>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</si>
  <si>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</si>
  <si>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</si>
  <si>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</si>
  <si>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</si>
  <si>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</si>
  <si>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</si>
  <si>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</si>
  <si>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</si>
  <si>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</si>
  <si>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</si>
  <si>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</si>
  <si>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</si>
  <si>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</si>
  <si>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</si>
  <si>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</si>
  <si>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</si>
  <si>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</si>
  <si>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</si>
  <si>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</si>
  <si>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</si>
  <si>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</si>
  <si>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</si>
  <si>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</si>
  <si>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</si>
  <si>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</si>
  <si>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</si>
  <si>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</si>
  <si>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</si>
  <si>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</si>
  <si>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</si>
  <si>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</si>
  <si>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</si>
  <si>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</si>
  <si>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</si>
  <si>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</si>
  <si>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</si>
  <si>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</si>
  <si>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</si>
  <si>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</si>
  <si>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</si>
  <si>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</si>
  <si>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</si>
  <si>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</si>
  <si>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</si>
  <si>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</si>
  <si>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</si>
  <si>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</si>
  <si>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</si>
  <si>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</si>
  <si>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</si>
  <si>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</si>
  <si>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</si>
  <si>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</si>
  <si>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</si>
  <si>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</si>
  <si>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</si>
  <si>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</si>
  <si>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</si>
  <si>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</si>
  <si>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</si>
  <si>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</si>
  <si>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</si>
  <si>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</si>
  <si>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</si>
  <si>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</si>
  <si>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</si>
  <si>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</si>
  <si>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</si>
  <si>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</si>
  <si>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</si>
  <si>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</si>
  <si>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</si>
  <si>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</si>
  <si>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</si>
  <si>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</si>
  <si>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</si>
  <si>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</si>
  <si>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</si>
  <si>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</si>
  <si>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</si>
  <si>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</si>
  <si>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</si>
  <si>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</si>
  <si>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</si>
  <si>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</si>
  <si>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</si>
  <si>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</si>
  <si>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</si>
  <si>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</si>
  <si>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</si>
  <si>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</si>
  <si>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</si>
  <si>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</si>
  <si>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</si>
  <si>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</si>
  <si>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</si>
  <si>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</si>
  <si>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</si>
  <si>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</si>
  <si>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</si>
  <si>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</si>
  <si>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</si>
  <si>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</si>
  <si>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</si>
  <si>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</si>
  <si>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</si>
  <si>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</si>
  <si>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</si>
  <si>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</si>
  <si>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</si>
  <si>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</si>
  <si>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</si>
  <si>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</si>
  <si>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</si>
  <si>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</si>
  <si>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</si>
  <si>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</si>
  <si>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</si>
  <si>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</si>
  <si>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</si>
  <si>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</si>
  <si>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</si>
  <si>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</si>
  <si>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</si>
  <si>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</si>
  <si>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</si>
  <si>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</si>
  <si>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</si>
  <si>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</si>
  <si>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</si>
  <si>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</si>
  <si>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</si>
  <si>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</si>
  <si>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</si>
  <si>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</si>
  <si>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</si>
  <si>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</si>
  <si>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</si>
  <si>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</si>
  <si>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</si>
  <si>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</si>
  <si>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</si>
  <si>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</si>
  <si>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</si>
  <si>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</si>
  <si>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</si>
  <si>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</si>
  <si>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</si>
  <si>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</si>
  <si>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</si>
  <si>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</si>
  <si>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</si>
  <si>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</si>
  <si>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</si>
  <si>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</si>
  <si>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</si>
  <si>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</si>
  <si>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</si>
  <si>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</si>
  <si>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</si>
  <si>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</si>
  <si>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</si>
  <si>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</si>
  <si>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</si>
  <si>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</si>
  <si>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</si>
  <si>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</si>
  <si>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</si>
  <si>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</si>
  <si>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</si>
  <si>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</si>
  <si>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</si>
  <si>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</si>
  <si>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</si>
  <si>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</si>
  <si>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</si>
  <si>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</si>
  <si>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</si>
  <si>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</si>
  <si>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</si>
  <si>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</si>
  <si>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</si>
  <si>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</si>
  <si>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</si>
  <si>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</si>
  <si>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</si>
  <si>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</si>
  <si>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</si>
  <si>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</si>
  <si>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</si>
  <si>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</si>
  <si>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</si>
  <si>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</si>
  <si>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</si>
  <si>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</si>
  <si>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</si>
  <si>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</si>
  <si>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</si>
  <si>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</si>
  <si>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</si>
  <si>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</si>
  <si>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</si>
  <si>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</si>
  <si>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</si>
  <si>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</si>
  <si>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</si>
  <si>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</si>
  <si>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</si>
  <si>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</si>
  <si>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</si>
  <si>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</si>
  <si>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</si>
  <si>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</si>
  <si>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</si>
  <si>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</si>
  <si>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</si>
  <si>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</si>
  <si>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</si>
  <si>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</si>
  <si>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</si>
  <si>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</si>
  <si>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</si>
  <si>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</si>
  <si>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</si>
  <si>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</si>
  <si>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</si>
  <si>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</si>
  <si>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</si>
  <si>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</si>
  <si>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</si>
  <si>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</si>
  <si>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</si>
  <si>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</si>
  <si>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</si>
  <si>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</si>
  <si>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</si>
  <si>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</si>
  <si>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</si>
  <si>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</si>
  <si>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</si>
  <si>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</si>
  <si>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</si>
  <si>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</si>
  <si>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</si>
  <si>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</si>
  <si>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</si>
  <si>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</si>
  <si>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</si>
  <si>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</si>
  <si>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</si>
  <si>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</si>
  <si>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</si>
  <si>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</si>
  <si>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</si>
  <si>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</si>
  <si>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</si>
  <si>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</si>
  <si>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</si>
  <si>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</si>
  <si>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</si>
  <si>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</si>
  <si>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</si>
  <si>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</si>
  <si>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</si>
  <si>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</si>
  <si>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</si>
  <si>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</si>
  <si>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</si>
  <si>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</si>
  <si>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</si>
  <si>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</si>
  <si>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</si>
  <si>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</si>
  <si>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</si>
  <si>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</si>
  <si>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</si>
  <si>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</si>
  <si>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</si>
  <si>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</si>
  <si>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</si>
  <si>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</si>
  <si>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</si>
  <si>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</si>
  <si>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</si>
  <si>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</si>
  <si>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</si>
  <si>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</si>
  <si>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</si>
  <si>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</si>
  <si>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</si>
  <si>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</si>
  <si>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</si>
  <si>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</si>
  <si>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</si>
  <si>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</si>
  <si>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</si>
  <si>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</si>
  <si>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</si>
  <si>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</si>
  <si>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</si>
  <si>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</si>
  <si>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</si>
  <si>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</si>
  <si>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</si>
  <si>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</si>
  <si>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</si>
  <si>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</si>
  <si>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</si>
  <si>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</si>
  <si>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</si>
  <si>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</si>
  <si>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</si>
  <si>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</si>
  <si>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</si>
  <si>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</si>
  <si>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</si>
  <si>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</si>
  <si>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</si>
  <si>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</si>
  <si>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</si>
  <si>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</si>
  <si>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</si>
  <si>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</si>
  <si>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</si>
  <si>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</si>
  <si>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</si>
  <si>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</si>
  <si>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</si>
  <si>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</si>
  <si>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</si>
  <si>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</si>
  <si>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</si>
  <si>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</si>
  <si>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</si>
  <si>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</si>
  <si>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</si>
  <si>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</si>
  <si>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</si>
  <si>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</si>
  <si>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</si>
  <si>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</si>
  <si>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</si>
  <si>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</si>
  <si>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</si>
  <si>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</si>
  <si>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</si>
  <si>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</si>
  <si>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</si>
  <si>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</si>
  <si>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</si>
  <si>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</si>
  <si>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</si>
  <si>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</si>
  <si>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</si>
  <si>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</si>
  <si>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</si>
  <si>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</si>
  <si>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</si>
  <si>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</si>
  <si>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</si>
  <si>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</si>
  <si>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</si>
  <si>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</si>
  <si>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</si>
  <si>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</si>
  <si>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</si>
  <si>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</si>
  <si>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</si>
  <si>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</si>
  <si>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</si>
  <si>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</si>
  <si>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</si>
  <si>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</si>
  <si>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</si>
  <si>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</si>
  <si>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</si>
  <si>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</si>
  <si>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</si>
  <si>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</si>
  <si>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</si>
  <si>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</si>
  <si>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</si>
  <si>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</si>
  <si>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</si>
  <si>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</si>
  <si>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</si>
  <si>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</si>
  <si>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</si>
  <si>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</si>
  <si>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</si>
  <si>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</si>
  <si>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</si>
  <si>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</si>
  <si>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</si>
  <si>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</si>
  <si>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</si>
  <si>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</si>
  <si>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</si>
  <si>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</si>
  <si>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</si>
  <si>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</si>
  <si>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</si>
  <si>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</si>
  <si>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</si>
  <si>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</si>
  <si>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</si>
  <si>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</si>
  <si>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</si>
  <si>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</si>
  <si>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</si>
  <si>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</si>
  <si>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</si>
  <si>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</si>
  <si>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</si>
  <si>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</si>
  <si>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</si>
  <si>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</si>
  <si>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</si>
  <si>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</si>
  <si>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</si>
  <si>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</si>
  <si>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</si>
  <si>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</si>
  <si>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</si>
  <si>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</si>
  <si>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</si>
  <si>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</si>
  <si>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</si>
  <si>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</si>
  <si>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</si>
  <si>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</si>
  <si>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</si>
  <si>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</si>
  <si>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</si>
  <si>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</si>
  <si>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</si>
  <si>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</si>
  <si>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</si>
  <si>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</si>
  <si>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</si>
  <si>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</si>
  <si>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</si>
  <si>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</si>
  <si>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</si>
  <si>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</si>
  <si>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</si>
  <si>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</si>
  <si>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</si>
  <si>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</si>
  <si>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</si>
  <si>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</si>
  <si>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</si>
  <si>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</si>
  <si>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</si>
  <si>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</si>
  <si>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</si>
  <si>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</si>
  <si>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</si>
  <si>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</si>
  <si>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</si>
  <si>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</si>
  <si>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</si>
  <si>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</si>
  <si>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</si>
  <si>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</si>
  <si>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</si>
  <si>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</si>
  <si>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</si>
  <si>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</si>
  <si>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</si>
  <si>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</si>
  <si>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</si>
  <si>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</si>
  <si>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</si>
  <si>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</si>
  <si>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</si>
  <si>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</si>
  <si>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</si>
  <si>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</si>
  <si>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</si>
  <si>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</si>
  <si>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</si>
  <si>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</si>
  <si>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</si>
  <si>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</si>
  <si>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</si>
  <si>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</si>
  <si>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</si>
  <si>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</si>
  <si>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</si>
  <si>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</si>
  <si>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</si>
  <si>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</si>
  <si>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</si>
  <si>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</si>
  <si>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</si>
  <si>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</si>
  <si>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</si>
  <si>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</si>
  <si>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</si>
  <si>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</si>
  <si>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</si>
  <si>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</si>
  <si>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</si>
  <si>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</si>
  <si>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</si>
  <si>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</si>
  <si>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</si>
  <si>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</si>
  <si>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</si>
  <si>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</si>
  <si>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</si>
  <si>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</si>
  <si>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</si>
  <si>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</si>
  <si>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</si>
  <si>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</si>
  <si>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</si>
  <si>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</si>
  <si>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</si>
  <si>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</si>
  <si>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</si>
  <si>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</si>
  <si>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</si>
  <si>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</si>
  <si>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</si>
  <si>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</si>
  <si>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</si>
  <si>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</si>
  <si>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</si>
  <si>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</si>
  <si>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</si>
  <si>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</si>
  <si>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</si>
  <si>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</si>
  <si>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</si>
  <si>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</si>
  <si>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</si>
  <si>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</si>
  <si>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</si>
  <si>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</si>
  <si>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</si>
  <si>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</si>
  <si>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</si>
  <si>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</si>
  <si>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</si>
  <si>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</si>
  <si>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</si>
  <si>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</si>
  <si>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</si>
  <si>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</si>
  <si>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</si>
  <si>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</si>
  <si>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</si>
  <si>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</si>
  <si>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</si>
  <si>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</si>
  <si>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</si>
  <si>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</si>
  <si>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</si>
  <si>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</si>
  <si>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</si>
  <si>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</si>
  <si>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</si>
  <si>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</si>
  <si>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</si>
  <si>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</si>
  <si>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</si>
  <si>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</si>
  <si>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</si>
  <si>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</si>
  <si>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</si>
  <si>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</si>
  <si>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</si>
  <si>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</si>
  <si>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</si>
  <si>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</si>
  <si>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</si>
  <si>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</si>
  <si>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</si>
  <si>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</si>
  <si>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</si>
  <si>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</si>
  <si>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</si>
  <si>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</si>
  <si>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</si>
  <si>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</si>
  <si>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</si>
  <si>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</si>
  <si>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</si>
  <si>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</si>
  <si>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</si>
  <si>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</si>
  <si>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</si>
  <si>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</si>
  <si>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</si>
  <si>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</si>
  <si>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</si>
  <si>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</si>
  <si>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</si>
  <si>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</si>
  <si>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</si>
  <si>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</si>
  <si>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</si>
  <si>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</si>
  <si>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</si>
  <si>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</si>
  <si>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</si>
  <si>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</si>
  <si>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</si>
  <si>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</si>
  <si>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</si>
  <si>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</si>
  <si>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</si>
  <si>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</si>
  <si>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</si>
  <si>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</si>
  <si>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</si>
  <si>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</si>
  <si>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</si>
  <si>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</si>
  <si>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</si>
  <si>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</si>
  <si>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</si>
  <si>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</si>
  <si>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</si>
  <si>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</si>
  <si>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</si>
  <si>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</si>
  <si>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</si>
  <si>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</si>
  <si>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</si>
  <si>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</si>
  <si>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</si>
  <si>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</si>
  <si>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</si>
  <si>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</si>
  <si>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</si>
  <si>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</si>
  <si>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</si>
  <si>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</si>
  <si>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</si>
  <si>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</si>
  <si>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</si>
  <si>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</si>
  <si>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</si>
  <si>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</si>
  <si>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</si>
  <si>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</si>
  <si>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</si>
  <si>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</si>
  <si>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</si>
  <si>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</si>
  <si>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</si>
  <si>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</si>
  <si>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</si>
  <si>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</si>
  <si>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</si>
  <si>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</si>
  <si>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</si>
  <si>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</si>
  <si>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</si>
  <si>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</si>
  <si>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</si>
  <si>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</si>
  <si>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</si>
  <si>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</si>
  <si>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</si>
  <si>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</si>
  <si>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</si>
  <si>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</si>
  <si>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</si>
  <si>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</si>
  <si>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</si>
  <si>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</si>
  <si>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</si>
  <si>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</si>
  <si>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</si>
  <si>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</si>
  <si>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</si>
  <si>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</si>
  <si>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</si>
  <si>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</si>
  <si>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</si>
  <si>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</si>
  <si>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</si>
  <si>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</si>
  <si>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</si>
  <si>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</si>
  <si>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</si>
  <si>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</si>
  <si>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</si>
  <si>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</si>
  <si>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</si>
  <si>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</si>
  <si>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</si>
  <si>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</si>
  <si>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</si>
  <si>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</si>
  <si>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</si>
  <si>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</si>
  <si>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</si>
  <si>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</si>
  <si>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</si>
  <si>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</si>
  <si>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</si>
  <si>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</si>
  <si>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</si>
  <si>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</si>
  <si>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</si>
  <si>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</si>
  <si>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</si>
  <si>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</si>
  <si>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</si>
  <si>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</si>
  <si>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</si>
  <si>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</si>
  <si>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</si>
  <si>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</si>
  <si>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</si>
  <si>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</si>
  <si>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</si>
  <si>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</si>
  <si>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</si>
  <si>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</si>
  <si>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</si>
  <si>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</si>
  <si>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</si>
  <si>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</si>
  <si>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</si>
  <si>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</si>
  <si>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</si>
  <si>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</si>
  <si>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</si>
  <si>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</si>
  <si>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</si>
  <si>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</si>
  <si>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</si>
  <si>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</si>
  <si>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</si>
  <si>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</si>
  <si>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</si>
  <si>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</si>
  <si>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</si>
  <si>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</si>
  <si>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</si>
  <si>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</si>
  <si>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</si>
  <si>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</si>
  <si>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</si>
  <si>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</si>
  <si>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</si>
  <si>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</si>
  <si>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</si>
  <si>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</si>
  <si>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</si>
  <si>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</si>
  <si>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</si>
  <si>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</si>
  <si>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</si>
  <si>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</si>
  <si>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</si>
  <si>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</si>
  <si>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</si>
  <si>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</si>
  <si>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</si>
  <si>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</si>
  <si>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</si>
  <si>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</si>
  <si>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</si>
  <si>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</si>
  <si>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</si>
  <si>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</si>
  <si>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</si>
  <si>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</si>
  <si>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</si>
  <si>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</si>
  <si>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</si>
  <si>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</si>
  <si>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</si>
  <si>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</si>
  <si>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</si>
  <si>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</si>
  <si>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</si>
  <si>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</si>
  <si>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</si>
  <si>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</si>
  <si>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</si>
  <si>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</si>
  <si>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</si>
  <si>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</si>
  <si>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</si>
  <si>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</si>
  <si>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</si>
  <si>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</si>
  <si>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</si>
  <si>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</si>
  <si>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</si>
  <si>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</si>
  <si>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</si>
  <si>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</si>
  <si>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</si>
  <si>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</si>
  <si>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</si>
  <si>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</si>
  <si>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</si>
  <si>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</si>
  <si>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</si>
  <si>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</si>
  <si>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</si>
  <si>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</si>
  <si>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</si>
  <si>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</si>
  <si>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</si>
  <si>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</si>
  <si>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</si>
  <si>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</si>
  <si>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</si>
  <si>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</si>
  <si>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</si>
  <si>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</si>
  <si>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</si>
  <si>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</si>
  <si>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</si>
  <si>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</si>
  <si>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</si>
  <si>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</si>
  <si>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</si>
  <si>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</si>
  <si>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</si>
  <si>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</si>
  <si>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</si>
  <si>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</si>
  <si>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</si>
  <si>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</si>
  <si>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</si>
  <si>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</si>
  <si>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</si>
  <si>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</si>
  <si>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</si>
  <si>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</si>
  <si>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</si>
  <si>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</si>
  <si>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</si>
  <si>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</si>
  <si>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</si>
  <si>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</si>
  <si>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</si>
  <si>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</si>
  <si>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</si>
  <si>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</si>
  <si>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</si>
  <si>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</si>
  <si>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</si>
  <si>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</si>
  <si>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</si>
  <si>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</si>
  <si>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</si>
  <si>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</si>
  <si>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</si>
  <si>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</si>
  <si>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</si>
  <si>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</si>
  <si>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</si>
  <si>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</si>
  <si>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</si>
  <si>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</si>
  <si>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</si>
  <si>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</si>
  <si>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</si>
  <si>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</si>
  <si>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</si>
  <si>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</si>
  <si>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</si>
  <si>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</si>
  <si>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</si>
  <si>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</si>
  <si>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</si>
  <si>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</si>
  <si>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</si>
  <si>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</si>
  <si>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</si>
  <si>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</si>
  <si>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</si>
  <si>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</si>
  <si>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</si>
  <si>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</si>
  <si>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</si>
  <si>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</si>
  <si>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</si>
  <si>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</si>
  <si>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</si>
  <si>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</si>
  <si>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</si>
  <si>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</si>
  <si>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</si>
  <si>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</si>
  <si>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</si>
  <si>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</si>
  <si>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</si>
  <si>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</si>
  <si>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</si>
  <si>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</si>
  <si>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</si>
  <si>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</si>
  <si>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</si>
  <si>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</si>
  <si>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</si>
  <si>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</si>
  <si>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</si>
  <si>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</si>
  <si>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</si>
  <si>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</si>
  <si>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</si>
  <si>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</si>
  <si>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</si>
  <si>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</si>
  <si>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</si>
  <si>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</si>
  <si>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</si>
  <si>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</si>
  <si>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</si>
  <si>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</si>
  <si>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</si>
  <si>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</si>
  <si>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</si>
  <si>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</si>
  <si>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</si>
  <si>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</si>
  <si>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</si>
  <si>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</si>
  <si>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</si>
  <si>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</si>
  <si>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</si>
  <si>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</si>
  <si>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</si>
  <si>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</si>
  <si>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</si>
  <si>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</si>
  <si>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</si>
  <si>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</si>
  <si>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</si>
  <si>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</si>
  <si>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</si>
  <si>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</si>
  <si>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</si>
  <si>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</si>
  <si>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</si>
  <si>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</si>
  <si>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</si>
  <si>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</si>
  <si>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</si>
  <si>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</si>
  <si>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</si>
  <si>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</si>
  <si>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</si>
  <si>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</si>
  <si>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</si>
  <si>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</si>
  <si>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</si>
  <si>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</si>
  <si>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</si>
  <si>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</si>
  <si>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</si>
  <si>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</si>
  <si>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</si>
  <si>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</si>
  <si>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</si>
  <si>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</si>
  <si>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</si>
  <si>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</si>
  <si>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</si>
  <si>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</si>
  <si>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</si>
  <si>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</si>
  <si>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</si>
  <si>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</si>
  <si>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</si>
  <si>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</si>
  <si>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</si>
  <si>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</si>
  <si>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</si>
  <si>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</si>
  <si>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</si>
  <si>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</si>
  <si>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</si>
  <si>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</si>
  <si>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</si>
  <si>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</si>
  <si>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</si>
  <si>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</si>
  <si>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</si>
  <si>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</si>
  <si>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</si>
  <si>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</si>
  <si>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</si>
  <si>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</si>
  <si>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</si>
  <si>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</si>
  <si>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</si>
  <si>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</si>
  <si>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</si>
  <si>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</si>
  <si>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</si>
  <si>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</si>
  <si>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</si>
  <si>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</si>
  <si>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</si>
  <si>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</si>
  <si>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</si>
  <si>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</si>
  <si>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</si>
  <si>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</si>
  <si>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</si>
  <si>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</si>
  <si>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</si>
  <si>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</si>
  <si>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</si>
  <si>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</si>
  <si>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</si>
  <si>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</si>
  <si>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</si>
  <si>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</si>
  <si>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</si>
  <si>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</si>
  <si>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</si>
  <si>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</si>
  <si>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</si>
  <si>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</si>
  <si>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</si>
  <si>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</si>
  <si>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</si>
  <si>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</si>
  <si>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</si>
  <si>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</si>
  <si>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</si>
  <si>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</si>
  <si>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</si>
  <si>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</si>
  <si>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</si>
  <si>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</si>
  <si>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</si>
  <si>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</si>
  <si>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</si>
  <si>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</si>
  <si>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</si>
  <si>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</si>
  <si>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</si>
  <si>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</si>
  <si>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</si>
  <si>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</si>
  <si>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</si>
  <si>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</si>
  <si>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</si>
  <si>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</si>
  <si>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</si>
  <si>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</si>
  <si>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</si>
  <si>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</si>
  <si>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</si>
  <si>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</si>
  <si>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</si>
  <si>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</si>
  <si>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</si>
  <si>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</si>
  <si>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</si>
  <si>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</si>
  <si>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</si>
  <si>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</si>
  <si>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</si>
  <si>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</si>
  <si>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</si>
  <si>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</si>
  <si>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</si>
  <si>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</si>
  <si>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</si>
  <si>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</si>
  <si>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</si>
  <si>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</si>
  <si>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</si>
  <si>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</si>
  <si>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</si>
  <si>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</si>
  <si>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</si>
  <si>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</si>
  <si>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</si>
  <si>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</si>
  <si>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</si>
  <si>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</si>
  <si>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</si>
  <si>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</si>
  <si>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</si>
  <si>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</si>
  <si>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</si>
  <si>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</si>
  <si>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</si>
  <si>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</si>
  <si>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</si>
  <si>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</si>
  <si>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</si>
  <si>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</si>
  <si>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</si>
  <si>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</si>
  <si>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</si>
  <si>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</si>
  <si>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</si>
  <si>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</si>
  <si>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</si>
  <si>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</si>
  <si>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</si>
  <si>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</si>
  <si>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</si>
  <si>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</si>
  <si>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</si>
  <si>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</si>
  <si>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</si>
  <si>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</si>
  <si>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</si>
  <si>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</si>
  <si>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</si>
  <si>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</si>
  <si>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</si>
  <si>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</si>
  <si>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</si>
  <si>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</si>
  <si>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</si>
  <si>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</si>
  <si>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</si>
  <si>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</si>
  <si>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</si>
  <si>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</si>
  <si>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</si>
  <si>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</si>
  <si>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</si>
  <si>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</si>
  <si>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</si>
  <si>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</si>
  <si>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</si>
  <si>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</si>
  <si>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</si>
  <si>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</si>
  <si>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</si>
  <si>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</si>
  <si>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</si>
  <si>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</si>
  <si>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</si>
  <si>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</si>
  <si>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</si>
  <si>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</si>
  <si>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</si>
  <si>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</si>
  <si>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</si>
  <si>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</si>
  <si>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</si>
  <si>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</si>
  <si>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</si>
  <si>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</si>
  <si>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</si>
  <si>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</si>
  <si>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</si>
  <si>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</si>
  <si>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</si>
  <si>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</si>
  <si>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</si>
  <si>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</si>
  <si>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</si>
  <si>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</si>
  <si>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</si>
  <si>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</si>
  <si>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</si>
  <si>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</si>
  <si>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</si>
  <si>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</si>
  <si>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</si>
  <si>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</si>
  <si>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</si>
  <si>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</si>
  <si>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</si>
  <si>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</si>
  <si>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</si>
  <si>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</si>
  <si>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</si>
  <si>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</si>
  <si>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</si>
  <si>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</si>
  <si>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</si>
  <si>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</si>
  <si>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</si>
  <si>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</si>
  <si>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</si>
  <si>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</si>
  <si>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</si>
  <si>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</si>
  <si>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</si>
  <si>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</si>
  <si>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</si>
  <si>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</si>
  <si>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</si>
  <si>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</si>
  <si>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</si>
  <si>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</si>
  <si>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</si>
  <si>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</si>
  <si>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</si>
  <si>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</si>
  <si>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</si>
  <si>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</si>
  <si>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</si>
  <si>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</si>
  <si>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</si>
  <si>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</si>
  <si>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</si>
  <si>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</si>
  <si>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</si>
  <si>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</si>
  <si>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</si>
  <si>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</si>
  <si>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</si>
  <si>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</si>
  <si>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</si>
  <si>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</si>
  <si>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</si>
  <si>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</si>
  <si>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</si>
  <si>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</si>
  <si>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</si>
  <si>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</si>
  <si>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</si>
  <si>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</si>
  <si>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</si>
  <si>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</si>
  <si>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</si>
  <si>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</si>
  <si>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</si>
  <si>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</si>
  <si>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</si>
  <si>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</si>
  <si>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</si>
  <si>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</si>
  <si>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</si>
  <si>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</si>
  <si>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</si>
  <si>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</si>
  <si>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</si>
  <si>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</si>
  <si>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</si>
  <si>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</si>
  <si>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</si>
  <si>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</si>
  <si>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</si>
  <si>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</si>
  <si>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</si>
  <si>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</si>
  <si>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</si>
  <si>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</si>
  <si>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</si>
  <si>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</si>
  <si>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</si>
  <si>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</si>
  <si>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</si>
  <si>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</si>
  <si>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</si>
  <si>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</si>
  <si>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</si>
  <si>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</si>
  <si>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</si>
  <si>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</si>
  <si>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</si>
  <si>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</si>
  <si>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</si>
  <si>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</si>
  <si>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</si>
  <si>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</si>
  <si>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</si>
  <si>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</si>
  <si>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</si>
  <si>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</si>
  <si>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</si>
  <si>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</si>
  <si>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</si>
  <si>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</si>
  <si>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</si>
  <si>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</si>
  <si>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</si>
  <si>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</si>
  <si>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</si>
  <si>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</si>
  <si>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</si>
  <si>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</si>
  <si>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</si>
  <si>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</si>
  <si>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</si>
  <si>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</si>
  <si>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</si>
  <si>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</si>
  <si>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</si>
  <si>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</si>
  <si>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</si>
  <si>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</si>
  <si>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</si>
  <si>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</si>
  <si>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</si>
  <si>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</si>
  <si>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</si>
  <si>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</si>
  <si>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</si>
  <si>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</si>
  <si>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</si>
  <si>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</si>
  <si>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</si>
  <si>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</si>
  <si>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</si>
  <si>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</si>
  <si>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</si>
  <si>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</si>
  <si>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</si>
  <si>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</si>
  <si>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</si>
  <si>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</si>
  <si>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</si>
  <si>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</si>
  <si>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</si>
  <si>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</si>
  <si>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</si>
  <si>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</si>
  <si>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</si>
  <si>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</si>
  <si>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</si>
  <si>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</si>
  <si>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</si>
  <si>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</si>
  <si>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</si>
  <si>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</si>
  <si>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</si>
  <si>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</si>
  <si>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</si>
  <si>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</si>
  <si>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</si>
  <si>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</si>
  <si>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</si>
  <si>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</si>
  <si>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</si>
  <si>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</si>
  <si>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</si>
  <si>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</si>
  <si>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</si>
  <si>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</si>
  <si>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</si>
  <si>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</si>
  <si>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</si>
  <si>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</si>
  <si>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</si>
  <si>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</si>
  <si>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</si>
  <si>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</si>
  <si>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</si>
  <si>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</si>
  <si>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</si>
  <si>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</si>
  <si>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</si>
  <si>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</si>
  <si>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</si>
  <si>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</si>
  <si>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</si>
  <si>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</si>
  <si>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</si>
  <si>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</si>
  <si>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</si>
  <si>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</si>
  <si>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</si>
  <si>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</si>
  <si>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</si>
  <si>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</si>
  <si>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</si>
  <si>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</si>
  <si>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</si>
  <si>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</si>
  <si>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</si>
  <si>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</si>
  <si>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</si>
  <si>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</si>
  <si>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</si>
  <si>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</si>
  <si>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</si>
  <si>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</si>
  <si>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</si>
  <si>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</si>
  <si>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</si>
  <si>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</si>
  <si>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</si>
  <si>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</si>
  <si>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</si>
  <si>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</si>
  <si>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</si>
  <si>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</si>
  <si>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</si>
  <si>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</si>
  <si>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</si>
  <si>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</si>
  <si>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</si>
  <si>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</si>
  <si>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</si>
  <si>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</si>
  <si>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</si>
  <si>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</si>
  <si>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</si>
  <si>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</si>
  <si>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</si>
  <si>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</si>
  <si>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</si>
  <si>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</si>
  <si>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</si>
  <si>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</si>
  <si>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</si>
  <si>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</si>
  <si>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</si>
  <si>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</si>
  <si>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</si>
  <si>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</si>
  <si>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</si>
  <si>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</si>
  <si>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</si>
  <si>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</si>
  <si>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</si>
  <si>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</si>
  <si>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</si>
  <si>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</si>
  <si>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</si>
  <si>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</si>
  <si>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</si>
  <si>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</si>
  <si>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</si>
  <si>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</si>
  <si>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</si>
  <si>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</si>
  <si>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</si>
  <si>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</si>
  <si>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</si>
  <si>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</si>
  <si>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</si>
  <si>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</si>
  <si>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</si>
  <si>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</si>
  <si>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</si>
  <si>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</si>
  <si>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</si>
  <si>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</si>
  <si>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</si>
  <si>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</si>
  <si>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</si>
  <si>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</si>
  <si>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</si>
  <si>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</si>
  <si>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</si>
  <si>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</si>
  <si>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</si>
  <si>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</si>
  <si>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</si>
  <si>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</si>
  <si>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</si>
  <si>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</si>
  <si>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</si>
  <si>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</si>
  <si>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</si>
  <si>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</si>
  <si>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</si>
  <si>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</si>
  <si>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</si>
  <si>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</si>
  <si>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</si>
  <si>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</si>
  <si>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</si>
  <si>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</si>
  <si>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</si>
  <si>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</si>
  <si>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</si>
  <si>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</si>
  <si>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</si>
  <si>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</si>
  <si>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</si>
  <si>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</si>
  <si>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</si>
  <si>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</si>
  <si>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</si>
  <si>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</si>
  <si>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</si>
  <si>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</si>
  <si>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</si>
  <si>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</si>
  <si>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</si>
  <si>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</si>
  <si>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</si>
  <si>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</si>
  <si>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</si>
  <si>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</si>
  <si>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</si>
  <si>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</si>
  <si>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</si>
  <si>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</si>
  <si>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</si>
  <si>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</si>
  <si>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</si>
  <si>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</si>
  <si>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</si>
  <si>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</si>
  <si>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</si>
  <si>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</si>
  <si>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</si>
  <si>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</si>
  <si>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</si>
  <si>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</si>
  <si>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</si>
  <si>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</si>
  <si>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</si>
  <si>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</si>
  <si>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</si>
  <si>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</si>
  <si>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</si>
  <si>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</si>
  <si>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</si>
  <si>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</si>
  <si>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</si>
  <si>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</si>
  <si>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</si>
  <si>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</si>
  <si>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</si>
  <si>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</si>
  <si>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</si>
  <si>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</si>
  <si>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</si>
  <si>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</si>
  <si>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</si>
  <si>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</si>
  <si>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</si>
  <si>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</si>
  <si>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</si>
  <si>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</si>
  <si>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</si>
  <si>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</si>
  <si>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</si>
  <si>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</si>
  <si>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</si>
  <si>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</si>
  <si>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</si>
  <si>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</si>
  <si>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</si>
  <si>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</si>
  <si>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</si>
  <si>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</si>
  <si>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</si>
  <si>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</si>
  <si>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</si>
  <si>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</si>
  <si>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</si>
  <si>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</si>
  <si>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</si>
  <si>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</si>
  <si>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</si>
  <si>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</si>
  <si>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</si>
  <si>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</si>
  <si>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</si>
  <si>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</si>
  <si>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</si>
  <si>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</si>
  <si>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</si>
  <si>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</si>
  <si>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</si>
  <si>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</si>
  <si>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</si>
  <si>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</si>
  <si>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</si>
  <si>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</si>
  <si>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</si>
  <si>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</si>
  <si>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</si>
  <si>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</si>
  <si>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</si>
  <si>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</si>
  <si>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</si>
  <si>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</si>
  <si>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</si>
  <si>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</si>
  <si>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</si>
  <si>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</si>
  <si>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</si>
  <si>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</si>
  <si>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</si>
  <si>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</si>
  <si>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</si>
  <si>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</si>
  <si>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</si>
  <si>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</si>
  <si>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</si>
  <si>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</si>
  <si>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</si>
  <si>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</si>
  <si>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</si>
  <si>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</si>
  <si>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</si>
  <si>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</si>
  <si>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</si>
  <si>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</si>
  <si>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</si>
  <si>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</si>
  <si>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</si>
  <si>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</si>
  <si>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</si>
  <si>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</si>
  <si>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</si>
  <si>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</si>
  <si>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</si>
  <si>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</si>
  <si>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</si>
  <si>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</si>
  <si>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</si>
  <si>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</si>
  <si>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</si>
  <si>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</si>
  <si>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</si>
  <si>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</si>
  <si>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</si>
  <si>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</si>
  <si>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</si>
  <si>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</si>
  <si>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</si>
  <si>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</si>
  <si>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</si>
  <si>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</si>
  <si>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</si>
  <si>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</si>
  <si>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</si>
  <si>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</si>
  <si>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</si>
  <si>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</si>
  <si>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</si>
  <si>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</si>
  <si>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</si>
  <si>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</si>
  <si>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</si>
  <si>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</si>
  <si>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</si>
  <si>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</si>
  <si>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</si>
  <si>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</si>
  <si>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</si>
  <si>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</si>
  <si>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</si>
  <si>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</si>
  <si>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</si>
  <si>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</si>
  <si>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</si>
  <si>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</si>
  <si>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</si>
  <si>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</si>
  <si>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</si>
  <si>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</si>
  <si>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</si>
  <si>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</si>
  <si>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</si>
  <si>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</si>
  <si>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</si>
  <si>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</si>
  <si>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</si>
  <si>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</si>
  <si>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</si>
  <si>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</si>
  <si>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</si>
  <si>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</si>
  <si>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</si>
  <si>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</si>
  <si>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</si>
  <si>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</si>
  <si>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</si>
  <si>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</si>
  <si>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</si>
  <si>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</si>
  <si>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</si>
  <si>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</si>
  <si>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</si>
  <si>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</si>
  <si>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</si>
  <si>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</si>
  <si>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</si>
  <si>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</si>
  <si>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</si>
  <si>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</si>
  <si>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</si>
  <si>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</si>
  <si>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</si>
  <si>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</si>
  <si>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</si>
  <si>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</si>
  <si>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</si>
  <si>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</si>
  <si>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</si>
  <si>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</si>
  <si>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</si>
  <si>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</si>
  <si>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</si>
  <si>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</si>
  <si>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</si>
  <si>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</si>
  <si>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</si>
  <si>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</si>
  <si>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</si>
  <si>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</si>
  <si>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</si>
  <si>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</si>
  <si>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</si>
  <si>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</si>
  <si>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</si>
  <si>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</si>
  <si>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</si>
  <si>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</si>
  <si>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</si>
  <si>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</si>
  <si>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</si>
  <si>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</si>
  <si>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</si>
  <si>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</si>
  <si>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</si>
  <si>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</si>
  <si>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</si>
  <si>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</si>
  <si>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</si>
  <si>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</si>
  <si>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</si>
  <si>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</si>
  <si>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</si>
  <si>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</si>
  <si>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</si>
  <si>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</si>
  <si>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</si>
  <si>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</si>
  <si>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</si>
  <si>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</si>
  <si>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</si>
  <si>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</si>
  <si>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</si>
  <si>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</si>
  <si>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</si>
  <si>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</si>
  <si>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</si>
  <si>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</si>
  <si>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</si>
  <si>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</si>
  <si>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</si>
  <si>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</si>
  <si>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</si>
  <si>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</si>
  <si>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</si>
  <si>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</si>
  <si>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</si>
  <si>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</si>
  <si>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</si>
  <si>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</si>
  <si>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</si>
  <si>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</si>
  <si>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</si>
  <si>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</si>
  <si>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</si>
  <si>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</si>
  <si>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</si>
  <si>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</si>
  <si>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</si>
  <si>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</si>
  <si>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</si>
  <si>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</si>
  <si>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</si>
  <si>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</si>
  <si>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</si>
  <si>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</si>
  <si>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</si>
  <si>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</si>
  <si>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</si>
  <si>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</si>
  <si>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</si>
  <si>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</si>
  <si>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</si>
  <si>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</si>
  <si>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</si>
  <si>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</si>
  <si>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</si>
  <si>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</si>
  <si>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</si>
  <si>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</si>
  <si>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</si>
  <si>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</si>
  <si>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</si>
  <si>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</si>
  <si>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</si>
  <si>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</si>
  <si>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</si>
  <si>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</si>
  <si>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</si>
  <si>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</si>
  <si>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</si>
  <si>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</si>
  <si>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</si>
  <si>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</si>
  <si>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</si>
  <si>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</si>
  <si>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</si>
  <si>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</si>
  <si>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</si>
  <si>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</si>
  <si>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</si>
  <si>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</si>
  <si>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</si>
  <si>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</si>
  <si>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</si>
  <si>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</si>
  <si>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</si>
  <si>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</si>
  <si>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</si>
  <si>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</si>
  <si>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</si>
  <si>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</si>
  <si>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</si>
  <si>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</si>
  <si>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</si>
  <si>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</si>
  <si>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</si>
  <si>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</si>
  <si>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</si>
  <si>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</si>
  <si>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</si>
  <si>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</si>
  <si>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</si>
  <si>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</si>
  <si>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</si>
  <si>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</si>
  <si>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</si>
  <si>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</si>
  <si>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</si>
  <si>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</si>
  <si>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</si>
  <si>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</si>
  <si>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</si>
  <si>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</si>
  <si>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</si>
  <si>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</si>
  <si>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</si>
  <si>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</si>
  <si>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</si>
  <si>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</si>
  <si>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</si>
  <si>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</si>
  <si>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</si>
  <si>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</si>
  <si>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</si>
  <si>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</si>
  <si>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</si>
  <si>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</si>
  <si>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</si>
  <si>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</si>
  <si>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</si>
  <si>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</si>
  <si>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</si>
  <si>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</si>
  <si>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</si>
  <si>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</si>
  <si>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</si>
  <si>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</si>
  <si>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</si>
  <si>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</si>
  <si>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</si>
  <si>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</si>
  <si>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</si>
  <si>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</si>
  <si>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</si>
  <si>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</si>
  <si>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</si>
  <si>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</si>
  <si>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</si>
  <si>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</si>
  <si>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</si>
  <si>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</si>
  <si>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</si>
  <si>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</si>
  <si>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</si>
  <si>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</si>
  <si>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</si>
  <si>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</si>
  <si>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</si>
  <si>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</si>
  <si>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</si>
  <si>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</si>
  <si>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</si>
  <si>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</si>
  <si>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</si>
  <si>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</si>
  <si>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</si>
  <si>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</si>
  <si>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</si>
  <si>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</si>
  <si>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</si>
  <si>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</si>
  <si>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</si>
  <si>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</si>
  <si>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</si>
  <si>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</si>
  <si>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</si>
  <si>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</si>
  <si>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</si>
  <si>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</si>
  <si>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</si>
  <si>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</si>
  <si>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</si>
  <si>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</si>
  <si>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</si>
  <si>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</si>
  <si>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</si>
  <si>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</si>
  <si>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</si>
  <si>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</si>
  <si>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</si>
  <si>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</si>
  <si>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</si>
  <si>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</si>
  <si>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</si>
  <si>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</si>
  <si>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</si>
  <si>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</si>
  <si>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</si>
  <si>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</si>
  <si>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</si>
  <si>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</si>
  <si>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</si>
  <si>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</si>
  <si>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</si>
  <si>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</si>
  <si>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</si>
  <si>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</si>
  <si>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</si>
  <si>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</si>
  <si>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</si>
  <si>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</si>
  <si>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</si>
  <si>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</si>
  <si>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</si>
  <si>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</si>
  <si>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</si>
  <si>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</si>
  <si>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</si>
  <si>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</si>
  <si>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</si>
  <si>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</si>
  <si>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</si>
  <si>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</si>
  <si>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</si>
  <si>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</si>
  <si>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</si>
  <si>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</si>
  <si>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</si>
  <si>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</si>
  <si>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</si>
  <si>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</si>
  <si>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</si>
  <si>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</si>
  <si>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</si>
  <si>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</si>
  <si>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</si>
  <si>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</si>
  <si>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</si>
  <si>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</si>
  <si>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</si>
  <si>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</si>
  <si>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</si>
  <si>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</si>
  <si>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</si>
  <si>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</si>
  <si>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</si>
  <si>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</si>
  <si>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</si>
  <si>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</si>
  <si>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</si>
  <si>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</si>
  <si>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</si>
  <si>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</si>
  <si>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</si>
  <si>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</si>
  <si>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</si>
  <si>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</si>
  <si>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</si>
  <si>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</si>
  <si>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</si>
  <si>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</si>
  <si>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</si>
  <si>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</si>
  <si>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</si>
  <si>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</si>
  <si>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</si>
  <si>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</si>
  <si>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</si>
  <si>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</si>
  <si>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</si>
  <si>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</si>
  <si>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</si>
  <si>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</si>
  <si>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</si>
  <si>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</si>
  <si>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</si>
  <si>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</si>
  <si>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</si>
  <si>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</si>
  <si>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</si>
  <si>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</si>
  <si>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</si>
  <si>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</si>
  <si>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</si>
  <si>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</si>
  <si>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</si>
  <si>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</si>
  <si>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</si>
  <si>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</si>
  <si>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</si>
  <si>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</si>
  <si>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</si>
  <si>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</si>
  <si>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</si>
  <si>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</si>
  <si>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</si>
  <si>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</si>
  <si>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</si>
  <si>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</si>
  <si>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</si>
  <si>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</si>
  <si>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</si>
  <si>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</si>
  <si>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</si>
  <si>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</si>
  <si>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</si>
  <si>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</si>
  <si>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</si>
  <si>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</si>
  <si>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</si>
  <si>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</si>
  <si>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</si>
  <si>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</si>
  <si>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</si>
  <si>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</si>
  <si>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</si>
  <si>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</si>
  <si>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</si>
  <si>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</si>
  <si>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</si>
  <si>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</si>
  <si>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</si>
  <si>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</si>
  <si>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</si>
  <si>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</si>
  <si>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</si>
  <si>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</si>
  <si>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</si>
  <si>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</si>
  <si>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</si>
  <si>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</si>
  <si>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</si>
  <si>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</si>
  <si>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</si>
  <si>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</si>
  <si>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</si>
  <si>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</si>
  <si>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</si>
  <si>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</si>
  <si>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</si>
  <si>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</si>
  <si>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</si>
  <si>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</si>
  <si>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</si>
  <si>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</si>
  <si>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</si>
  <si>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</si>
  <si>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</si>
  <si>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</si>
  <si>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</si>
  <si>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</si>
  <si>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</si>
  <si>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</si>
  <si>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</si>
  <si>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</si>
  <si>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</si>
  <si>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</si>
  <si>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</si>
  <si>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</si>
  <si>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</si>
  <si>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</si>
  <si>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</si>
  <si>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</si>
  <si>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</si>
  <si>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</si>
  <si>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</si>
  <si>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</si>
  <si>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</si>
  <si>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</si>
  <si>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</si>
  <si>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</si>
  <si>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</si>
  <si>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</si>
  <si>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</si>
  <si>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</si>
  <si>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</si>
  <si>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</si>
  <si>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</si>
  <si>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</si>
  <si>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</si>
  <si>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</si>
  <si>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</si>
  <si>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</si>
  <si>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</si>
  <si>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</si>
  <si>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</si>
  <si>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</si>
  <si>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</si>
  <si>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</si>
  <si>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</si>
  <si>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</si>
  <si>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</si>
  <si>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</si>
  <si>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</si>
  <si>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</si>
  <si>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</si>
  <si>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</si>
  <si>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</si>
  <si>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</si>
  <si>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</si>
  <si>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</si>
  <si>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</si>
  <si>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</si>
  <si>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</si>
  <si>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</si>
  <si>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</si>
  <si>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</si>
  <si>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</si>
  <si>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</si>
  <si>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</si>
  <si>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</si>
  <si>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</si>
  <si>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</si>
  <si>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</si>
  <si>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</si>
  <si>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</si>
  <si>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</si>
  <si>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</si>
  <si>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</si>
  <si>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</si>
  <si>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</si>
  <si>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</si>
  <si>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</si>
  <si>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</si>
  <si>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</si>
  <si>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</si>
  <si>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</si>
  <si>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</si>
  <si>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</si>
  <si>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</si>
  <si>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</si>
  <si>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</si>
  <si>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</si>
  <si>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</si>
  <si>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</si>
  <si>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</si>
  <si>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</si>
  <si>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</si>
  <si>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</si>
  <si>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</si>
  <si>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</si>
  <si>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</si>
  <si>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</si>
  <si>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</si>
  <si>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</si>
  <si>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</si>
  <si>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</si>
  <si>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</si>
  <si>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</si>
  <si>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</si>
  <si>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</si>
  <si>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</si>
  <si>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</si>
  <si>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</si>
  <si>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</si>
  <si>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</si>
  <si>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</si>
  <si>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</si>
  <si>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</si>
  <si>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</si>
  <si>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</si>
  <si>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</si>
  <si>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</si>
  <si>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</si>
  <si>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</si>
  <si>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</si>
  <si>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</si>
  <si>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</si>
  <si>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</si>
  <si>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</si>
  <si>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</si>
  <si>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</si>
  <si>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</si>
  <si>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</si>
  <si>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</si>
  <si>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</si>
  <si>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</si>
  <si>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</si>
  <si>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</si>
  <si>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</si>
  <si>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</si>
  <si>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</si>
  <si>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</si>
  <si>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</si>
  <si>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</si>
  <si>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</si>
  <si>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</si>
  <si>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</si>
  <si>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</si>
  <si>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</si>
  <si>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</si>
  <si>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</si>
  <si>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</si>
  <si>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</si>
  <si>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</si>
  <si>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</si>
  <si>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</si>
  <si>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</si>
  <si>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</si>
  <si>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</si>
  <si>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</si>
  <si>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</si>
  <si>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</si>
  <si>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</si>
  <si>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</si>
  <si>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</si>
  <si>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</si>
  <si>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</si>
  <si>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</si>
  <si>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</si>
  <si>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</si>
  <si>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</si>
  <si>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</si>
  <si>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</si>
  <si>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</si>
  <si>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</si>
  <si>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</si>
  <si>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</si>
  <si>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</si>
  <si>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</si>
  <si>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</si>
  <si>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</si>
  <si>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</si>
  <si>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</si>
  <si>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</si>
  <si>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</si>
  <si>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</si>
  <si>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</si>
  <si>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</si>
  <si>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</si>
  <si>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</si>
  <si>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</si>
  <si>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</si>
  <si>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</si>
  <si>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</si>
  <si>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</si>
  <si>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</si>
  <si>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</si>
  <si>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</si>
  <si>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</si>
  <si>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</si>
  <si>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</si>
  <si>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</si>
  <si>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</si>
  <si>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</si>
  <si>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</si>
  <si>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</si>
  <si>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</si>
  <si>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</si>
  <si>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</si>
  <si>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</si>
  <si>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</si>
  <si>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</si>
  <si>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</si>
  <si>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</si>
  <si>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</si>
  <si>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</si>
  <si>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</si>
  <si>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</si>
  <si>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</si>
  <si>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</si>
  <si>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</si>
  <si>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</si>
  <si>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</si>
  <si>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</si>
  <si>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</si>
  <si>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</si>
  <si>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</si>
  <si>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</si>
  <si>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</si>
  <si>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</si>
  <si>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</si>
  <si>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</si>
  <si>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</si>
  <si>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</si>
  <si>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</si>
  <si>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</si>
  <si>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</si>
  <si>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</si>
  <si>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</si>
  <si>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</si>
  <si>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</si>
  <si>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</si>
  <si>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</si>
  <si>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</si>
  <si>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</si>
  <si>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</si>
  <si>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</si>
  <si>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</si>
  <si>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</si>
  <si>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</si>
  <si>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</si>
  <si>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</si>
  <si>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</si>
  <si>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</si>
  <si>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</si>
  <si>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</si>
  <si>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</si>
  <si>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</si>
  <si>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</si>
  <si>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</si>
  <si>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</si>
  <si>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</si>
  <si>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</si>
  <si>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</si>
  <si>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</si>
  <si>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</si>
  <si>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</si>
  <si>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</si>
  <si>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</si>
  <si>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</si>
  <si>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</si>
  <si>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</si>
  <si>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</si>
  <si>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</si>
  <si>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</si>
  <si>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</si>
  <si>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</si>
  <si>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</si>
  <si>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</si>
  <si>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</si>
  <si>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</si>
  <si>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</si>
  <si>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</si>
  <si>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</si>
  <si>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</si>
  <si>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</si>
  <si>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</si>
  <si>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</si>
  <si>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</si>
  <si>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</si>
  <si>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</si>
  <si>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</si>
  <si>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</si>
  <si>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</si>
  <si>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</si>
  <si>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</si>
  <si>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</si>
  <si>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</si>
  <si>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</si>
  <si>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</si>
  <si>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</si>
  <si>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</si>
  <si>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</si>
  <si>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</si>
  <si>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</si>
  <si>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</si>
  <si>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</si>
  <si>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</si>
  <si>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</si>
  <si>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</si>
  <si>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</si>
  <si>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</si>
  <si>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</si>
  <si>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</si>
  <si>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</si>
  <si>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</si>
  <si>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</si>
  <si>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</si>
  <si>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</si>
  <si>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</si>
  <si>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</si>
  <si>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</si>
  <si>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</si>
  <si>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</si>
  <si>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</si>
  <si>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</si>
  <si>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</si>
  <si>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</si>
  <si>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</si>
  <si>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</si>
  <si>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</si>
  <si>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</si>
  <si>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</si>
  <si>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</si>
  <si>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</si>
  <si>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</si>
  <si>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</si>
  <si>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</si>
  <si>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</si>
  <si>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</si>
  <si>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</si>
  <si>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</si>
  <si>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</si>
  <si>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</si>
  <si>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</si>
  <si>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</si>
  <si>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</si>
  <si>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</si>
  <si>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</si>
  <si>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</si>
  <si>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</si>
  <si>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</si>
  <si>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</si>
  <si>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</si>
  <si>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</si>
  <si>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</si>
  <si>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</si>
  <si>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</si>
  <si>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</si>
  <si>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</si>
  <si>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</si>
  <si>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</si>
  <si>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</si>
  <si>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</si>
  <si>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</si>
  <si>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</si>
  <si>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</si>
  <si>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</si>
  <si>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</si>
  <si>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</si>
  <si>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</si>
  <si>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</si>
  <si>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</si>
  <si>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</si>
  <si>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</si>
  <si>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</si>
  <si>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</si>
  <si>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</si>
  <si>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</si>
  <si>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</si>
  <si>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</si>
  <si>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</si>
  <si>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</si>
  <si>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</si>
  <si>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</si>
  <si>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</si>
  <si>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</si>
  <si>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</si>
  <si>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</si>
  <si>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</si>
  <si>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</si>
  <si>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</si>
  <si>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</si>
  <si>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</si>
  <si>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</si>
  <si>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</si>
  <si>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</si>
  <si>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</si>
  <si>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</si>
  <si>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</si>
  <si>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</si>
  <si>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</si>
  <si>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</si>
  <si>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</si>
  <si>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</si>
  <si>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</si>
  <si>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</si>
  <si>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</si>
  <si>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</si>
  <si>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</si>
  <si>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</si>
  <si>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</si>
  <si>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</si>
  <si>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</si>
  <si>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</si>
  <si>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</si>
  <si>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</si>
  <si>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</si>
  <si>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</si>
  <si>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</si>
  <si>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</si>
  <si>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</si>
  <si>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</si>
  <si>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</si>
  <si>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</si>
  <si>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</si>
  <si>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</si>
  <si>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</si>
  <si>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</si>
  <si>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</si>
  <si>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</si>
  <si>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</si>
  <si>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</si>
  <si>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</si>
  <si>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</si>
  <si>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</si>
  <si>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</si>
  <si>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</si>
  <si>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</si>
  <si>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</si>
  <si>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</si>
  <si>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</si>
  <si>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</si>
  <si>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</si>
  <si>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</si>
  <si>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</si>
  <si>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</si>
  <si>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</si>
  <si>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</si>
  <si>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</si>
  <si>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</si>
  <si>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</si>
  <si>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</si>
  <si>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</si>
  <si>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</si>
  <si>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</si>
  <si>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</si>
  <si>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</si>
  <si>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</si>
  <si>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</si>
  <si>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</si>
  <si>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</si>
  <si>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</si>
  <si>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</si>
  <si>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</si>
  <si>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</si>
  <si>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</si>
  <si>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</si>
  <si>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</si>
  <si>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</si>
  <si>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</si>
  <si>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</si>
  <si>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</si>
  <si>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</si>
  <si>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</si>
  <si>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</si>
  <si>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</si>
  <si>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</si>
  <si>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</si>
  <si>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</si>
  <si>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</si>
  <si>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</si>
  <si>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</si>
  <si>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</si>
  <si>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</si>
  <si>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</si>
  <si>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</si>
  <si>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</si>
  <si>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</si>
  <si>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</si>
  <si>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</si>
  <si>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</si>
  <si>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</si>
  <si>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</si>
  <si>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</si>
  <si>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</si>
  <si>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</si>
  <si>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</si>
  <si>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</si>
  <si>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</si>
  <si>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</si>
  <si>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</si>
  <si>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</si>
  <si>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</si>
  <si>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</si>
  <si>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</si>
  <si>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</si>
  <si>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</si>
  <si>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</si>
  <si>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</si>
  <si>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</si>
  <si>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</si>
  <si>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</si>
  <si>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</si>
  <si>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</si>
  <si>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</si>
  <si>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</si>
  <si>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</si>
  <si>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</si>
  <si>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</si>
  <si>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</si>
  <si>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</si>
  <si>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</si>
  <si>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</si>
  <si>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</si>
  <si>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</si>
  <si>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</si>
  <si>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</si>
  <si>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</si>
  <si>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</si>
  <si>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</si>
  <si>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</si>
  <si>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</si>
  <si>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</si>
  <si>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</si>
  <si>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</si>
  <si>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</si>
  <si>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</si>
  <si>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</si>
  <si>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</si>
  <si>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</si>
  <si>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</si>
  <si>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</si>
  <si>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</si>
  <si>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</si>
  <si>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</si>
  <si>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</si>
  <si>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</si>
  <si>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</si>
  <si>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</si>
  <si>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</si>
  <si>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</si>
  <si>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</si>
  <si>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</si>
  <si>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</si>
  <si>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</si>
  <si>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</si>
  <si>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</si>
  <si>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</si>
  <si>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</si>
  <si>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</si>
  <si>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</si>
  <si>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</si>
  <si>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</si>
  <si>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</si>
  <si>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</si>
  <si>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</si>
  <si>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</si>
  <si>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</si>
  <si>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</si>
  <si>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</si>
  <si>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</si>
  <si>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</si>
  <si>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</si>
  <si>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</si>
  <si>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</si>
  <si>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</si>
  <si>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</si>
  <si>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</si>
  <si>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</si>
  <si>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</si>
  <si>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</si>
  <si>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</si>
  <si>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</si>
  <si>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</si>
  <si>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</si>
  <si>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</si>
  <si>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</si>
  <si>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</si>
  <si>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</si>
  <si>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</si>
  <si>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</si>
  <si>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</si>
  <si>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</si>
  <si>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</si>
  <si>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</si>
  <si>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</si>
  <si>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</si>
  <si>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</si>
  <si>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</si>
  <si>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</si>
  <si>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</si>
  <si>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</si>
  <si>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</si>
  <si>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</si>
  <si>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</si>
  <si>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</si>
  <si>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</si>
  <si>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</si>
  <si>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</si>
  <si>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</si>
  <si>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</si>
  <si>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</si>
  <si>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</si>
  <si>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</si>
  <si>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</si>
  <si>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</si>
  <si>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</si>
  <si>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</si>
  <si>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</si>
  <si>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</si>
  <si>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</si>
  <si>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</si>
  <si>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</si>
  <si>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</si>
  <si>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</si>
  <si>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</si>
  <si>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</si>
  <si>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</si>
  <si>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</si>
  <si>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</si>
  <si>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</si>
  <si>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</si>
  <si>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</si>
  <si>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</si>
  <si>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</si>
  <si>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</si>
  <si>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</si>
  <si>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</si>
  <si>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</si>
  <si>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</si>
  <si>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</si>
  <si>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</si>
  <si>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</si>
  <si>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</si>
  <si>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</si>
  <si>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</si>
  <si>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</si>
  <si>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</si>
  <si>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</si>
  <si>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</si>
  <si>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</si>
  <si>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</si>
  <si>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</si>
  <si>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</si>
  <si>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</si>
  <si>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</si>
  <si>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</si>
  <si>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</si>
  <si>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</si>
  <si>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</si>
  <si>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</si>
  <si>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</si>
  <si>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</si>
  <si>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</si>
  <si>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</si>
  <si>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</si>
  <si>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</si>
  <si>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</si>
  <si>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</si>
  <si>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</si>
  <si>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</si>
  <si>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</si>
  <si>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</si>
  <si>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</si>
  <si>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</si>
  <si>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</si>
  <si>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</si>
  <si>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</si>
  <si>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</si>
  <si>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</si>
  <si>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</si>
  <si>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</si>
  <si>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</si>
  <si>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</si>
  <si>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</si>
  <si>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</si>
  <si>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</si>
  <si>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</si>
  <si>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</si>
  <si>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</si>
  <si>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</si>
  <si>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</si>
  <si>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</si>
  <si>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</si>
  <si>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</si>
  <si>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</si>
  <si>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</si>
  <si>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</si>
  <si>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</si>
  <si>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</si>
  <si>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</si>
  <si>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</si>
  <si>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</si>
  <si>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</si>
  <si>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</si>
  <si>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</si>
  <si>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</si>
  <si>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</si>
  <si>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</si>
  <si>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</si>
  <si>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</si>
  <si>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</si>
  <si>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</si>
  <si>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</si>
  <si>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</si>
  <si>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</si>
  <si>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</si>
  <si>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</si>
  <si>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</si>
  <si>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</si>
  <si>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</si>
  <si>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</si>
  <si>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</si>
  <si>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</si>
  <si>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</si>
  <si>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</si>
  <si>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</si>
  <si>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</si>
  <si>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</si>
  <si>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</si>
  <si>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</si>
  <si>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</si>
  <si>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</si>
  <si>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</si>
  <si>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</si>
  <si>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</si>
  <si>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</si>
  <si>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</si>
  <si>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</si>
  <si>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</si>
  <si>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</si>
  <si>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</si>
  <si>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</si>
  <si>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</si>
  <si>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</si>
  <si>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</si>
  <si>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</si>
  <si>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</si>
  <si>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</si>
  <si>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</si>
  <si>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</si>
  <si>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</si>
  <si>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</si>
  <si>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</si>
  <si>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</si>
  <si>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</si>
  <si>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</si>
  <si>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</si>
  <si>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</si>
  <si>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</si>
  <si>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</si>
  <si>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</si>
  <si>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</si>
  <si>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</si>
  <si>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</si>
  <si>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</si>
  <si>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</si>
  <si>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</si>
  <si>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</si>
  <si>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</si>
  <si>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</si>
  <si>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</si>
  <si>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</si>
  <si>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</si>
  <si>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</si>
  <si>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</si>
  <si>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</si>
  <si>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</si>
  <si>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</si>
  <si>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</si>
  <si>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</si>
  <si>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</si>
  <si>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</si>
  <si>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</si>
  <si>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</si>
  <si>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</si>
  <si>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</si>
  <si>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</si>
  <si>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</si>
  <si>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</si>
  <si>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</si>
  <si>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</si>
  <si>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</si>
  <si>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</si>
  <si>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</si>
  <si>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</si>
  <si>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</si>
  <si>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</si>
  <si>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</si>
  <si>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</si>
  <si>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</si>
  <si>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</si>
  <si>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</si>
  <si>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</si>
  <si>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</si>
  <si>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</si>
  <si>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</si>
  <si>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</si>
  <si>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</si>
  <si>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</si>
  <si>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</si>
  <si>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</si>
  <si>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</si>
  <si>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</si>
  <si>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</si>
  <si>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</si>
  <si>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</si>
  <si>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</si>
  <si>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</si>
  <si>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</si>
  <si>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</si>
  <si>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</si>
  <si>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</si>
  <si>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</si>
  <si>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</si>
  <si>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</si>
  <si>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</si>
  <si>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</si>
  <si>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</si>
  <si>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</si>
  <si>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</si>
  <si>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</si>
  <si>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</si>
  <si>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</si>
  <si>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</si>
  <si>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</si>
  <si>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</si>
  <si>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</si>
  <si>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</si>
  <si>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</si>
  <si>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</si>
  <si>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</si>
  <si>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</si>
  <si>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</si>
  <si>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</si>
  <si>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</si>
  <si>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</si>
  <si>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</si>
  <si>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</si>
  <si>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</si>
  <si>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</si>
  <si>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</si>
  <si>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</si>
  <si>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</si>
  <si>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</si>
  <si>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</si>
  <si>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</si>
  <si>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</si>
  <si>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</si>
  <si>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</si>
  <si>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</si>
  <si>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</si>
  <si>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</si>
  <si>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</si>
  <si>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</si>
  <si>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</si>
  <si>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</si>
  <si>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</si>
  <si>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</si>
  <si>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</si>
  <si>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</si>
  <si>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</si>
  <si>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</si>
  <si>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</si>
  <si>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</si>
  <si>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</si>
  <si>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</si>
  <si>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</si>
  <si>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</si>
  <si>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</si>
  <si>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</si>
  <si>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</si>
  <si>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</si>
  <si>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</si>
  <si>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</si>
  <si>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</si>
  <si>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</si>
  <si>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</si>
  <si>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</si>
  <si>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</si>
  <si>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</si>
  <si>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</si>
  <si>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</si>
  <si>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</si>
  <si>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</si>
  <si>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</si>
  <si>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</si>
  <si>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</si>
  <si>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</si>
  <si>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</si>
  <si>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</si>
  <si>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</si>
  <si>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</si>
  <si>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</si>
  <si>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</si>
  <si>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</si>
  <si>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</si>
  <si>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</si>
  <si>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</si>
  <si>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</si>
  <si>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</si>
  <si>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</si>
  <si>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</si>
  <si>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</si>
  <si>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</si>
  <si>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</si>
  <si>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</si>
  <si>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</si>
  <si>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</si>
  <si>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</si>
  <si>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</si>
  <si>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</si>
  <si>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</si>
  <si>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</si>
  <si>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</si>
  <si>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</si>
  <si>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</si>
  <si>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</si>
  <si>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</si>
  <si>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</si>
  <si>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</si>
  <si>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</si>
  <si>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</si>
  <si>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</si>
  <si>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</si>
  <si>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</si>
  <si>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</si>
  <si>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</si>
  <si>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</si>
  <si>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</si>
  <si>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</si>
  <si>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</si>
  <si>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</si>
  <si>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</si>
  <si>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</si>
  <si>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</si>
  <si>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</si>
  <si>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</si>
  <si>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</si>
  <si>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</si>
  <si>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</si>
  <si>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</si>
  <si>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</si>
  <si>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</si>
  <si>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</si>
  <si>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</si>
  <si>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</si>
  <si>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</si>
  <si>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</si>
  <si>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</si>
  <si>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</si>
  <si>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</si>
  <si>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</si>
  <si>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</si>
  <si>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</si>
  <si>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</si>
  <si>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</si>
  <si>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</si>
  <si>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</si>
  <si>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</si>
  <si>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</si>
  <si>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</si>
  <si>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</si>
  <si>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</si>
  <si>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</si>
  <si>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</si>
  <si>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</si>
  <si>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</si>
  <si>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</si>
  <si>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</si>
  <si>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</si>
  <si>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</si>
  <si>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</si>
  <si>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</si>
  <si>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</si>
  <si>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</si>
  <si>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</si>
  <si>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</si>
  <si>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</si>
  <si>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</si>
  <si>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</si>
  <si>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</si>
  <si>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</si>
  <si>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</si>
  <si>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</si>
  <si>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</si>
  <si>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</si>
  <si>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</si>
  <si>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</si>
  <si>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</si>
  <si>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</si>
  <si>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</si>
  <si>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</si>
  <si>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</si>
  <si>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</si>
  <si>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</si>
  <si>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</si>
  <si>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</si>
  <si>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</si>
  <si>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</si>
  <si>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</si>
  <si>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</si>
  <si>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</si>
  <si>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</si>
  <si>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</si>
  <si>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</si>
  <si>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</si>
  <si>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</si>
  <si>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</si>
  <si>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</si>
  <si>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</si>
  <si>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</si>
  <si>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</si>
  <si>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</si>
  <si>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</si>
  <si>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</si>
  <si>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</si>
  <si>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</si>
  <si>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</si>
  <si>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</si>
  <si>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</si>
  <si>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</si>
  <si>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</si>
  <si>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</si>
  <si>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</si>
  <si>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</si>
  <si>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</si>
  <si>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</si>
  <si>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</si>
  <si>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</si>
  <si>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</si>
  <si>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</si>
  <si>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</si>
  <si>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</si>
  <si>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</si>
  <si>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</si>
  <si>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</si>
  <si>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</si>
  <si>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</si>
  <si>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</si>
  <si>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</si>
  <si>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</si>
  <si>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</si>
  <si>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</si>
  <si>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</si>
  <si>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</si>
  <si>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</si>
  <si>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</si>
  <si>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</si>
  <si>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</si>
  <si>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</si>
  <si>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</si>
  <si>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</si>
  <si>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</si>
  <si>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</si>
  <si>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</si>
  <si>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</si>
  <si>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</si>
  <si>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</si>
  <si>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</si>
  <si>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</si>
  <si>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</si>
  <si>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</si>
  <si>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</si>
  <si>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</si>
  <si>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</si>
  <si>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</si>
  <si>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</si>
  <si>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</si>
  <si>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</si>
  <si>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</si>
  <si>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</si>
  <si>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</si>
  <si>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</si>
  <si>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</si>
  <si>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</si>
  <si>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</si>
  <si>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</si>
  <si>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</si>
  <si>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</si>
  <si>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</si>
  <si>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</si>
  <si>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</si>
  <si>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</si>
  <si>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</si>
  <si>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</si>
  <si>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</si>
  <si>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</si>
  <si>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</si>
  <si>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</si>
  <si>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</si>
  <si>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</si>
  <si>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</si>
  <si>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</si>
  <si>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</si>
  <si>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</si>
  <si>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</si>
  <si>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</si>
  <si>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</si>
  <si>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</si>
  <si>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</si>
  <si>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</si>
  <si>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</si>
  <si>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</si>
  <si>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</si>
  <si>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</si>
  <si>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</si>
  <si>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</si>
  <si>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</si>
  <si>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</si>
  <si>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</si>
  <si>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</si>
  <si>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</si>
  <si>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</si>
  <si>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</si>
  <si>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</si>
  <si>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</si>
  <si>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</si>
  <si>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</si>
  <si>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</si>
  <si>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</si>
  <si>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</si>
  <si>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</si>
  <si>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</si>
  <si>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</si>
  <si>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</si>
  <si>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</si>
  <si>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</si>
  <si>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</si>
  <si>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</si>
  <si>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</si>
  <si>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</si>
  <si>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</si>
  <si>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</si>
  <si>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</si>
  <si>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</si>
  <si>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</si>
  <si>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</si>
  <si>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</si>
  <si>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</si>
  <si>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</si>
  <si>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</si>
  <si>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</si>
  <si>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</si>
  <si>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</si>
  <si>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</si>
  <si>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</si>
  <si>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</si>
  <si>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</si>
  <si>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</si>
  <si>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</si>
  <si>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</si>
  <si>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</si>
  <si>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</si>
  <si>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</si>
  <si>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</si>
  <si>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</si>
  <si>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</si>
  <si>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</si>
  <si>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</si>
  <si>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</si>
  <si>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</si>
  <si>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</si>
  <si>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</si>
  <si>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</si>
  <si>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</si>
  <si>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</si>
  <si>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</si>
  <si>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</si>
  <si>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</si>
  <si>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</si>
  <si>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</si>
  <si>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</si>
  <si>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</si>
  <si>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</si>
  <si>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</si>
  <si>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</si>
  <si>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</si>
  <si>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</si>
  <si>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</si>
  <si>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</si>
  <si>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</si>
  <si>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</si>
  <si>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</si>
  <si>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</si>
  <si>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</si>
  <si>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</si>
  <si>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</si>
  <si>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</si>
  <si>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</si>
  <si>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</si>
  <si>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</si>
  <si>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</si>
  <si>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</si>
  <si>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</si>
  <si>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</si>
  <si>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</si>
  <si>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</si>
  <si>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</si>
  <si>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</si>
  <si>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</si>
  <si>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</si>
  <si>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</si>
  <si>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</si>
  <si>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</si>
  <si>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</si>
  <si>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</si>
  <si>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</si>
  <si>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</si>
  <si>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</si>
  <si>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</si>
  <si>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</si>
  <si>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</si>
  <si>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</si>
  <si>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</si>
  <si>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</si>
  <si>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</si>
  <si>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</si>
  <si>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</si>
  <si>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</si>
  <si>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</si>
  <si>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</si>
  <si>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</si>
  <si>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</si>
  <si>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</si>
  <si>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</si>
  <si>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</si>
  <si>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</si>
  <si>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</si>
  <si>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</si>
  <si>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</si>
  <si>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</si>
  <si>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</si>
  <si>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</si>
  <si>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</si>
  <si>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</si>
  <si>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</si>
  <si>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</si>
  <si>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</si>
  <si>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</si>
  <si>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</si>
  <si>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</si>
  <si>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</si>
  <si>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</si>
  <si>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</si>
  <si>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</si>
  <si>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</si>
  <si>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</si>
  <si>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</si>
  <si>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</si>
  <si>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</si>
  <si>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</si>
  <si>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</si>
  <si>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</si>
  <si>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</si>
  <si>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</si>
  <si>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</si>
  <si>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</si>
  <si>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</si>
  <si>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</si>
  <si>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</si>
  <si>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</si>
  <si>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</si>
  <si>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</si>
  <si>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</si>
  <si>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</si>
  <si>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</si>
  <si>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</si>
  <si>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</si>
  <si>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</si>
  <si>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</si>
  <si>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</si>
  <si>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</si>
  <si>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</si>
  <si>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</si>
  <si>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</si>
  <si>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</si>
  <si>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</si>
  <si>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</si>
  <si>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</si>
  <si>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</si>
  <si>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</si>
  <si>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</si>
  <si>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</si>
  <si>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</si>
  <si>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</si>
  <si>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</si>
  <si>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</si>
  <si>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</si>
  <si>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</si>
  <si>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</si>
  <si>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</si>
  <si>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</si>
  <si>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</si>
  <si>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</si>
  <si>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</si>
  <si>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</si>
  <si>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</si>
  <si>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</si>
  <si>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</si>
  <si>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</si>
  <si>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</si>
  <si>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</si>
  <si>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</si>
  <si>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</si>
  <si>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</si>
  <si>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</si>
  <si>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</si>
  <si>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</si>
  <si>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</si>
  <si>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</si>
  <si>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</si>
  <si>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</si>
  <si>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</si>
  <si>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</si>
  <si>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</si>
  <si>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</si>
  <si>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</si>
  <si>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</si>
  <si>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</si>
  <si>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</si>
  <si>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</si>
  <si>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</si>
  <si>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</si>
  <si>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</si>
  <si>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</si>
  <si>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</si>
  <si>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</si>
  <si>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</si>
  <si>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</si>
  <si>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</si>
  <si>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</si>
  <si>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</si>
  <si>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</si>
  <si>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</si>
  <si>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</si>
  <si>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</si>
  <si>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</si>
  <si>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</si>
  <si>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</si>
  <si>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</si>
  <si>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</si>
  <si>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</si>
  <si>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</si>
  <si>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</si>
  <si>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</si>
  <si>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</si>
  <si>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</si>
  <si>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</si>
  <si>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</si>
  <si>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</si>
  <si>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</si>
  <si>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</si>
  <si>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</si>
  <si>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</si>
  <si>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</si>
  <si>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</si>
  <si>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</si>
  <si>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</si>
  <si>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</si>
  <si>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</si>
  <si>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</si>
  <si>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</si>
  <si>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</si>
  <si>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</si>
  <si>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</si>
  <si>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</si>
  <si>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</si>
  <si>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</si>
  <si>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</si>
  <si>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</si>
  <si>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</si>
  <si>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</si>
  <si>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</si>
  <si>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</si>
  <si>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</si>
  <si>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</si>
  <si>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</si>
  <si>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</si>
  <si>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</si>
  <si>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</si>
  <si>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</si>
  <si>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</si>
  <si>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</si>
  <si>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</si>
  <si>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</si>
  <si>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</si>
  <si>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</si>
  <si>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</si>
  <si>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</si>
  <si>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</si>
  <si>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</si>
  <si>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</si>
  <si>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</si>
  <si>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</si>
  <si>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</si>
  <si>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</si>
  <si>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</si>
  <si>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</si>
  <si>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</si>
  <si>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</si>
  <si>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</si>
  <si>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</si>
  <si>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</si>
  <si>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</si>
  <si>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</si>
  <si>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</si>
  <si>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</si>
  <si>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</si>
  <si>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</si>
  <si>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</si>
  <si>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</si>
  <si>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</si>
  <si>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</si>
  <si>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</si>
  <si>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</si>
  <si>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</si>
  <si>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</si>
  <si>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</si>
  <si>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</si>
  <si>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</si>
  <si>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</si>
  <si>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</si>
  <si>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</si>
  <si>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</si>
  <si>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</si>
  <si>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</si>
  <si>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</si>
  <si>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</si>
  <si>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</si>
  <si>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</si>
  <si>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</si>
  <si>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</si>
  <si>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</si>
  <si>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</si>
  <si>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</si>
  <si>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</si>
  <si>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</si>
  <si>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</si>
  <si>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</si>
  <si>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</si>
  <si>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</si>
  <si>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</si>
  <si>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</si>
  <si>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</si>
  <si>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</si>
  <si>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</si>
  <si>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</si>
  <si>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</si>
  <si>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</si>
  <si>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</si>
  <si>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</si>
  <si>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</si>
  <si>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</si>
  <si>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</si>
  <si>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</si>
  <si>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</si>
  <si>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</si>
  <si>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</si>
  <si>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</si>
  <si>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</si>
  <si>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</si>
  <si>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</si>
  <si>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</si>
  <si>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</si>
  <si>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</si>
  <si>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</si>
  <si>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</si>
  <si>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</si>
  <si>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</si>
  <si>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</si>
  <si>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</si>
  <si>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</si>
  <si>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</si>
  <si>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</si>
  <si>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</si>
  <si>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</si>
  <si>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</si>
  <si>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</si>
  <si>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</si>
  <si>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</si>
  <si>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</si>
  <si>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</si>
  <si>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</si>
  <si>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</si>
  <si>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</si>
  <si>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</si>
  <si>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</si>
  <si>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</si>
  <si>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</si>
  <si>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</si>
  <si>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</si>
  <si>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</si>
  <si>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</si>
  <si>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</si>
  <si>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</si>
  <si>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</si>
  <si>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</si>
  <si>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</si>
  <si>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</si>
  <si>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</si>
  <si>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</si>
  <si>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</si>
  <si>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</si>
  <si>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</si>
  <si>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</si>
  <si>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</si>
  <si>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</si>
  <si>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</si>
  <si>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</si>
  <si>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</si>
  <si>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</si>
  <si>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</si>
  <si>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</si>
  <si>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</si>
  <si>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</si>
  <si>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</si>
  <si>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</si>
  <si>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</si>
  <si>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</si>
  <si>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</si>
  <si>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</si>
  <si>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</si>
  <si>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</si>
  <si>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</si>
  <si>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</si>
  <si>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</si>
  <si>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</si>
  <si>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</si>
  <si>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</si>
  <si>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</si>
  <si>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</si>
  <si>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</si>
  <si>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</si>
  <si>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</si>
  <si>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</si>
  <si>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</si>
  <si>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</si>
  <si>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</si>
  <si>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</si>
  <si>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</si>
  <si>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</si>
  <si>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</si>
  <si>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</si>
  <si>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</si>
  <si>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</si>
  <si>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</si>
  <si>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</si>
  <si>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</si>
  <si>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</si>
  <si>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</si>
  <si>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</si>
  <si>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</si>
  <si>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</si>
  <si>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</si>
  <si>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</si>
  <si>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</si>
  <si>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</si>
  <si>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</si>
  <si>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</si>
  <si>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</si>
  <si>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</si>
  <si>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</si>
  <si>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</si>
  <si>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</si>
  <si>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</si>
  <si>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</si>
  <si>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</si>
  <si>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</si>
  <si>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</si>
  <si>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</si>
  <si>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</si>
  <si>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</si>
  <si>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</si>
  <si>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</si>
  <si>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</si>
  <si>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</si>
  <si>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</si>
  <si>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</si>
  <si>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</si>
  <si>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</si>
  <si>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</si>
  <si>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</si>
  <si>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</si>
  <si>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</si>
  <si>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</si>
  <si>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</si>
  <si>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</si>
  <si>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</si>
  <si>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</si>
  <si>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</si>
  <si>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</si>
  <si>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</si>
  <si>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</si>
  <si>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</si>
  <si>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</si>
  <si>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</si>
  <si>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</si>
  <si>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</si>
  <si>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</si>
  <si>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</si>
  <si>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</si>
  <si>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</si>
  <si>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</si>
  <si>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</si>
  <si>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</si>
  <si>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</si>
  <si>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</si>
  <si>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</si>
  <si>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</si>
  <si>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</si>
  <si>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</si>
  <si>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</si>
  <si>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</si>
  <si>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</si>
  <si>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</si>
  <si>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</si>
  <si>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</si>
  <si>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</si>
  <si>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</si>
  <si>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</si>
  <si>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</si>
  <si>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</si>
  <si>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</si>
  <si>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</si>
  <si>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</si>
  <si>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</si>
  <si>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</si>
  <si>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</si>
  <si>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</si>
  <si>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</si>
  <si>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</si>
  <si>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</si>
  <si>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</si>
  <si>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</si>
  <si>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</si>
  <si>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</si>
  <si>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</si>
  <si>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</si>
  <si>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</si>
  <si>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</si>
  <si>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</si>
  <si>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</si>
  <si>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</si>
  <si>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</si>
  <si>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</si>
  <si>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</si>
  <si>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</si>
  <si>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</si>
  <si>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</si>
  <si>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</si>
  <si>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</si>
  <si>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</si>
  <si>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</si>
  <si>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</si>
  <si>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</si>
  <si>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</si>
  <si>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</si>
  <si>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</si>
  <si>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</si>
  <si>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</si>
  <si>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</si>
  <si>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</si>
  <si>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</si>
  <si>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</si>
  <si>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</si>
  <si>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</si>
  <si>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</si>
  <si>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</si>
  <si>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</si>
  <si>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</si>
  <si>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</si>
  <si>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</si>
  <si>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</si>
  <si>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</si>
  <si>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</si>
  <si>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</si>
  <si>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</si>
  <si>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</si>
  <si>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</si>
  <si>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</si>
  <si>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</si>
  <si>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</si>
  <si>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</si>
  <si>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</si>
  <si>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</si>
  <si>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</si>
  <si>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</si>
  <si>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</si>
  <si>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</si>
  <si>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</si>
  <si>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</si>
  <si>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</si>
  <si>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</si>
  <si>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</si>
  <si>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</si>
  <si>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</si>
  <si>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</si>
  <si>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</si>
  <si>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</si>
  <si>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</si>
  <si>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</si>
  <si>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</si>
  <si>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</si>
  <si>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</si>
  <si>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</si>
  <si>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</si>
  <si>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</si>
  <si>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</si>
  <si>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</si>
  <si>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</si>
  <si>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</si>
  <si>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</si>
  <si>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</si>
  <si>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</si>
  <si>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</si>
  <si>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</si>
  <si>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</si>
  <si>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</si>
  <si>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</si>
  <si>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</si>
  <si>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</si>
  <si>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</si>
  <si>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</si>
  <si>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</si>
  <si>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</si>
  <si>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</si>
  <si>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</si>
  <si>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</si>
  <si>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</si>
  <si>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</si>
  <si>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</si>
  <si>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</si>
  <si>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</si>
  <si>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</si>
  <si>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</si>
  <si>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</si>
  <si>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</si>
  <si>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</si>
  <si>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</si>
  <si>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</si>
  <si>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</si>
  <si>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</si>
  <si>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</si>
  <si>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</si>
  <si>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</si>
  <si>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</si>
  <si>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</si>
  <si>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</si>
  <si>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</si>
  <si>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</si>
  <si>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</si>
  <si>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</si>
  <si>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</si>
  <si>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</si>
  <si>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</si>
  <si>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</si>
  <si>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</si>
  <si>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</si>
  <si>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</si>
  <si>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</si>
  <si>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</si>
  <si>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</si>
  <si>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</si>
  <si>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</si>
  <si>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</si>
  <si>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</si>
  <si>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</si>
  <si>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</si>
  <si>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</si>
  <si>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</si>
  <si>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</si>
  <si>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</si>
  <si>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</si>
  <si>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</si>
  <si>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</si>
  <si>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</si>
  <si>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</si>
  <si>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</si>
  <si>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</si>
  <si>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</si>
  <si>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</si>
  <si>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</si>
  <si>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</si>
  <si>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</si>
  <si>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</si>
  <si>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</si>
  <si>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</si>
  <si>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</si>
  <si>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</si>
  <si>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</si>
  <si>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</si>
  <si>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</si>
  <si>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</si>
  <si>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</si>
  <si>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</si>
  <si>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</si>
  <si>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</si>
  <si>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</si>
  <si>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</si>
  <si>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</si>
  <si>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</si>
  <si>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</si>
  <si>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</si>
  <si>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</si>
  <si>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</si>
  <si>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</si>
  <si>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</si>
  <si>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</si>
  <si>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</si>
  <si>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</si>
  <si>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</si>
  <si>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</si>
  <si>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</si>
  <si>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</si>
  <si>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</si>
  <si>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</si>
  <si>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</si>
  <si>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</si>
  <si>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</si>
  <si>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</si>
  <si>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</si>
  <si>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</si>
  <si>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</si>
  <si>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</si>
  <si>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</si>
  <si>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</si>
  <si>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</si>
  <si>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</si>
  <si>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</si>
  <si>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</si>
  <si>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</si>
  <si>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</si>
  <si>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</si>
  <si>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</si>
  <si>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</si>
  <si>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</si>
  <si>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</si>
  <si>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</si>
  <si>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</si>
  <si>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</si>
  <si>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</si>
  <si>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</si>
  <si>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</si>
  <si>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</si>
  <si>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</si>
  <si>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</si>
  <si>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</si>
  <si>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</si>
  <si>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</si>
  <si>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</si>
  <si>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</si>
  <si>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</si>
  <si>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</si>
  <si>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</si>
  <si>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</si>
  <si>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</si>
  <si>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</si>
  <si>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</si>
  <si>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</si>
  <si>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</si>
  <si>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</si>
  <si>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</si>
  <si>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</si>
  <si>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</si>
  <si>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</si>
  <si>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</si>
  <si>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</si>
  <si>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</si>
  <si>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</si>
  <si>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</si>
  <si>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</si>
  <si>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</si>
  <si>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</si>
  <si>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</si>
  <si>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</si>
  <si>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</si>
  <si>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</si>
  <si>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</si>
  <si>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</si>
  <si>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</si>
  <si>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</si>
  <si>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</si>
  <si>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</si>
  <si>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</si>
  <si>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</si>
  <si>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</si>
  <si>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</si>
  <si>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</si>
  <si>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</si>
  <si>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</si>
  <si>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</si>
  <si>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</si>
  <si>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</si>
  <si>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</si>
  <si>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</si>
  <si>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</si>
  <si>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</si>
  <si>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</si>
  <si>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</si>
  <si>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</si>
  <si>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</si>
  <si>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</si>
  <si>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</si>
  <si>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</si>
  <si>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</si>
  <si>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</si>
  <si>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</si>
  <si>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</si>
  <si>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</si>
  <si>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</si>
  <si>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</si>
  <si>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</si>
  <si>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</si>
  <si>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</si>
  <si>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</si>
  <si>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</si>
  <si>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</si>
  <si>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</si>
  <si>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</si>
  <si>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</si>
  <si>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</si>
  <si>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</si>
  <si>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</si>
  <si>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</si>
  <si>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</si>
  <si>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</si>
  <si>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</si>
  <si>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</si>
  <si>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</si>
  <si>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</si>
  <si>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</si>
  <si>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</si>
  <si>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</si>
  <si>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</si>
  <si>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</si>
  <si>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</si>
  <si>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</si>
  <si>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</si>
  <si>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</si>
  <si>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</si>
  <si>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</si>
  <si>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</si>
  <si>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</si>
  <si>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</si>
  <si>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</si>
  <si>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</si>
  <si>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</si>
  <si>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</si>
  <si>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</si>
  <si>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</si>
  <si>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</si>
  <si>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</si>
  <si>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</si>
  <si>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</si>
  <si>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</si>
  <si>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</si>
  <si>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</si>
  <si>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</si>
  <si>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</si>
  <si>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</si>
  <si>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</si>
  <si>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</si>
  <si>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</si>
  <si>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</si>
  <si>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</si>
  <si>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</si>
  <si>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</si>
  <si>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</si>
  <si>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</si>
  <si>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</si>
  <si>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</si>
  <si>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</si>
  <si>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</si>
  <si>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</si>
  <si>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</si>
  <si>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</si>
  <si>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</si>
  <si>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</si>
  <si>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</si>
  <si>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</si>
  <si>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</si>
  <si>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</si>
  <si>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</si>
  <si>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</si>
  <si>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</si>
  <si>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</si>
  <si>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</si>
  <si>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</si>
  <si>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</si>
  <si>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</si>
  <si>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</si>
  <si>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</si>
  <si>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</si>
  <si>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</si>
  <si>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</si>
  <si>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</si>
  <si>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</si>
  <si>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</si>
  <si>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</si>
  <si>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</si>
  <si>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</si>
  <si>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</si>
  <si>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</si>
  <si>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</si>
  <si>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</si>
  <si>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</si>
  <si>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</si>
  <si>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</si>
  <si>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</si>
  <si>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</si>
  <si>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</si>
  <si>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</si>
  <si>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</si>
  <si>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</si>
  <si>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</si>
  <si>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</si>
  <si>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</si>
  <si>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</si>
  <si>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</si>
  <si>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</si>
  <si>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</si>
  <si>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</si>
  <si>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</si>
  <si>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</si>
  <si>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</si>
  <si>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</si>
  <si>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</si>
  <si>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</si>
  <si>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</si>
  <si>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</si>
  <si>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</si>
  <si>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</si>
  <si>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</si>
  <si>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</si>
  <si>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</si>
  <si>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</si>
  <si>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</si>
  <si>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</si>
  <si>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</si>
  <si>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</si>
  <si>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</si>
  <si>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</si>
  <si>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</si>
  <si>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</si>
  <si>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</si>
  <si>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</si>
  <si>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</si>
  <si>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</si>
  <si>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</si>
  <si>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</si>
  <si>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</si>
  <si>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</si>
  <si>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</si>
  <si>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</si>
  <si>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</si>
  <si>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</si>
  <si>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</si>
  <si>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</si>
  <si>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</si>
  <si>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</si>
  <si>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</si>
  <si>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</si>
  <si>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</si>
  <si>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</si>
  <si>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</si>
  <si>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</si>
  <si>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</si>
  <si>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</si>
  <si>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</si>
  <si>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</si>
  <si>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</si>
  <si>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</si>
  <si>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</si>
  <si>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</si>
  <si>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</si>
  <si>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</si>
  <si>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</si>
  <si>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</si>
  <si>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</si>
  <si>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</si>
  <si>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</si>
  <si>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</si>
  <si>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</si>
  <si>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</si>
  <si>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</si>
  <si>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</si>
  <si>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</si>
  <si>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</si>
  <si>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</si>
  <si>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</si>
  <si>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</si>
  <si>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</si>
  <si>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</si>
  <si>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</si>
  <si>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</si>
  <si>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</si>
  <si>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</si>
  <si>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</si>
  <si>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</si>
  <si>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</si>
  <si>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</si>
  <si>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</si>
  <si>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</si>
  <si>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</si>
  <si>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</si>
  <si>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</si>
  <si>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</si>
  <si>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</si>
  <si>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</si>
  <si>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</si>
  <si>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</si>
  <si>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</si>
  <si>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</si>
  <si>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</si>
  <si>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</si>
  <si>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</si>
  <si>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</si>
  <si>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</si>
  <si>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</si>
  <si>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</si>
  <si>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</si>
  <si>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</si>
  <si>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</si>
  <si>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</si>
  <si>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</si>
  <si>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</si>
  <si>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</si>
  <si>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</si>
  <si>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</si>
  <si>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</si>
  <si>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</si>
  <si>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</si>
  <si>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</si>
  <si>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</si>
  <si>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</si>
  <si>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</si>
  <si>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</si>
  <si>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</si>
  <si>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</si>
  <si>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</si>
  <si>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</si>
  <si>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</si>
  <si>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</si>
  <si>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</si>
  <si>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</si>
  <si>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</si>
  <si>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</si>
  <si>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</si>
  <si>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</si>
  <si>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</si>
  <si>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</si>
  <si>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</si>
  <si>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</si>
  <si>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</si>
  <si>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</si>
  <si>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</si>
  <si>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</si>
  <si>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</si>
  <si>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</si>
  <si>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</si>
  <si>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</si>
  <si>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</si>
  <si>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</si>
  <si>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</si>
  <si>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</si>
  <si>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</si>
  <si>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</si>
  <si>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</si>
  <si>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</si>
  <si>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</si>
  <si>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</si>
  <si>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</si>
  <si>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</si>
  <si>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</si>
  <si>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</si>
  <si>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</si>
  <si>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</si>
  <si>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</si>
  <si>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</si>
  <si>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</si>
  <si>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</si>
  <si>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</si>
  <si>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</si>
  <si>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</si>
  <si>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</si>
  <si>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</si>
  <si>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</si>
  <si>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</si>
  <si>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</si>
  <si>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</si>
  <si>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</si>
  <si>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</si>
  <si>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</si>
  <si>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</si>
  <si>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</si>
  <si>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</si>
  <si>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</si>
  <si>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</si>
  <si>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</si>
  <si>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</si>
  <si>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</si>
  <si>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</si>
  <si>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</si>
  <si>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</si>
  <si>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</si>
  <si>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</si>
  <si>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</si>
  <si>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</si>
  <si>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</si>
  <si>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</si>
  <si>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</si>
  <si>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</si>
  <si>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</si>
  <si>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</si>
  <si>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</si>
  <si>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</si>
  <si>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</si>
  <si>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</si>
  <si>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</si>
  <si>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</si>
  <si>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</si>
  <si>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</si>
  <si>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</si>
  <si>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</si>
  <si>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</si>
  <si>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</si>
  <si>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</si>
  <si>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</si>
  <si>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</si>
  <si>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</si>
  <si>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</si>
  <si>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</si>
  <si>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</si>
  <si>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</si>
  <si>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</si>
  <si>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</si>
  <si>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</si>
  <si>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</si>
  <si>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</si>
  <si>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</si>
  <si>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</si>
  <si>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</si>
  <si>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</si>
  <si>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</si>
  <si>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</si>
  <si>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</si>
  <si>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</si>
  <si>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</si>
  <si>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</si>
  <si>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</si>
  <si>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</si>
  <si>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</si>
  <si>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</si>
  <si>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</si>
  <si>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</si>
  <si>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</si>
  <si>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</si>
  <si>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</si>
  <si>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</si>
  <si>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</si>
  <si>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</si>
  <si>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</si>
  <si>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</si>
  <si>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</si>
  <si>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</si>
  <si>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</si>
  <si>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</si>
  <si>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</si>
  <si>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</si>
  <si>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</si>
  <si>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</si>
  <si>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</si>
  <si>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</si>
  <si>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</si>
  <si>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</si>
  <si>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</si>
  <si>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</si>
  <si>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</si>
  <si>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</si>
  <si>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</si>
  <si>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</si>
  <si>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</si>
  <si>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</si>
  <si>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</si>
  <si>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</si>
  <si>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</si>
  <si>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</si>
  <si>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</si>
  <si>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</si>
  <si>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</si>
  <si>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</si>
  <si>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</si>
  <si>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</si>
  <si>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</si>
  <si>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</si>
  <si>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</si>
  <si>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</si>
  <si>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</si>
  <si>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</si>
  <si>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</si>
  <si>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</si>
  <si>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</si>
  <si>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</si>
  <si>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</si>
  <si>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</si>
  <si>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</si>
  <si>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</si>
  <si>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</si>
  <si>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</si>
  <si>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</si>
  <si>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</si>
  <si>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</si>
  <si>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</si>
  <si>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</si>
  <si>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</si>
  <si>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</si>
  <si>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</si>
  <si>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</si>
  <si>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</si>
  <si>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</si>
  <si>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</si>
  <si>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</si>
  <si>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</si>
  <si>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</si>
  <si>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</si>
  <si>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</si>
  <si>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</si>
  <si>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</si>
  <si>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</si>
  <si>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</si>
  <si>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</si>
  <si>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</si>
  <si>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</si>
  <si>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</si>
  <si>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</si>
  <si>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</si>
  <si>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</si>
  <si>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</si>
  <si>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</si>
  <si>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</si>
  <si>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</si>
  <si>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</si>
  <si>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</si>
  <si>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</si>
  <si>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</si>
  <si>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</si>
  <si>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</si>
  <si>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</si>
  <si>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</si>
  <si>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</si>
  <si>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</si>
  <si>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</si>
  <si>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</si>
  <si>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</si>
  <si>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</si>
  <si>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</si>
  <si>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</si>
  <si>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</si>
  <si>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</si>
  <si>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</si>
  <si>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</si>
  <si>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</si>
  <si>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</si>
  <si>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</si>
  <si>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</si>
  <si>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</si>
  <si>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</si>
  <si>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</si>
  <si>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</si>
  <si>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</si>
  <si>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</si>
  <si>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</si>
  <si>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</si>
  <si>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</si>
  <si>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</si>
  <si>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</si>
  <si>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</si>
  <si>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</si>
  <si>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</si>
  <si>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</si>
  <si>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</si>
  <si>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</si>
  <si>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</si>
  <si>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</si>
  <si>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</si>
  <si>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</si>
  <si>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</si>
  <si>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</si>
  <si>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</si>
  <si>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</si>
  <si>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</si>
  <si>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</si>
  <si>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</si>
  <si>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</si>
  <si>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</si>
  <si>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</si>
  <si>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</si>
  <si>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</si>
  <si>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</si>
  <si>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</si>
  <si>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</si>
  <si>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</si>
  <si>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</si>
  <si>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</si>
  <si>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</si>
  <si>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</si>
  <si>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</si>
  <si>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</si>
  <si>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</si>
  <si>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</si>
  <si>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</si>
  <si>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</si>
  <si>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</si>
  <si>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</si>
  <si>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</si>
  <si>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</si>
  <si>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</si>
  <si>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</si>
  <si>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</si>
  <si>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</si>
  <si>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</si>
  <si>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</si>
  <si>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</si>
  <si>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</si>
  <si>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</si>
  <si>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</si>
  <si>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</si>
  <si>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</si>
  <si>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</si>
  <si>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</si>
  <si>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</si>
  <si>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</si>
  <si>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</si>
  <si>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</si>
  <si>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</si>
  <si>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</si>
  <si>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</si>
  <si>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</si>
  <si>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</si>
  <si>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</si>
  <si>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</si>
  <si>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</si>
  <si>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</si>
  <si>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</si>
  <si>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</si>
  <si>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</si>
  <si>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</si>
  <si>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</si>
  <si>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</si>
  <si>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</si>
  <si>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</si>
  <si>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</si>
  <si>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</si>
  <si>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</si>
  <si>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</si>
  <si>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</si>
  <si>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</si>
  <si>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</si>
  <si>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</si>
  <si>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</si>
  <si>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</si>
  <si>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</si>
  <si>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</si>
  <si>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</si>
  <si>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</si>
  <si>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</si>
  <si>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</si>
  <si>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</si>
  <si>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</si>
  <si>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</si>
  <si>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</si>
  <si>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</si>
  <si>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</si>
  <si>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</si>
  <si>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</si>
  <si>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</si>
  <si>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</si>
  <si>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</si>
  <si>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</si>
  <si>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</si>
  <si>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</si>
  <si>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</si>
  <si>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</si>
  <si>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</si>
  <si>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</si>
  <si>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</si>
  <si>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</si>
  <si>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</si>
  <si>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</si>
  <si>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</si>
  <si>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</si>
  <si>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</si>
  <si>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</si>
  <si>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</si>
  <si>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</si>
  <si>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</si>
  <si>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</si>
  <si>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</si>
  <si>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</si>
  <si>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</si>
  <si>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</si>
  <si>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</si>
  <si>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</si>
  <si>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</si>
  <si>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</si>
  <si>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</si>
  <si>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</si>
  <si>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</si>
  <si>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</si>
  <si>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</si>
  <si>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</si>
  <si>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</si>
  <si>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</si>
  <si>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</si>
  <si>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</si>
  <si>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</si>
  <si>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</si>
  <si>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</si>
  <si>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</si>
  <si>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</si>
  <si>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</si>
  <si>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</si>
  <si>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</si>
  <si>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</si>
  <si>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</si>
  <si>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</si>
  <si>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</si>
  <si>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</si>
  <si>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</si>
  <si>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</si>
  <si>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</si>
  <si>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</si>
  <si>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</si>
  <si>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</si>
  <si>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</si>
  <si>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</si>
  <si>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</si>
  <si>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</si>
  <si>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</si>
  <si>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</si>
  <si>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</si>
  <si>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</si>
  <si>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</si>
  <si>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</si>
  <si>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</si>
  <si>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</si>
  <si>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</si>
  <si>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</si>
  <si>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</si>
  <si>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</si>
  <si>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</si>
  <si>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</si>
  <si>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</si>
  <si>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</si>
  <si>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</si>
  <si>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</si>
  <si>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</si>
  <si>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</si>
  <si>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</si>
  <si>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</si>
  <si>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</si>
  <si>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</si>
  <si>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</si>
  <si>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</si>
  <si>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</si>
  <si>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</si>
  <si>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</si>
  <si>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</si>
  <si>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</si>
  <si>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</si>
  <si>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</si>
  <si>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</si>
  <si>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</si>
  <si>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</si>
  <si>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</si>
  <si>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</si>
  <si>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</si>
  <si>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</si>
  <si>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</si>
  <si>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</si>
  <si>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</si>
  <si>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</si>
  <si>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</si>
  <si>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</si>
  <si>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</si>
  <si>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</si>
  <si>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</si>
  <si>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</si>
  <si>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</si>
  <si>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</si>
  <si>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</si>
  <si>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</si>
  <si>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</si>
  <si>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</si>
  <si>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</si>
  <si>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</si>
  <si>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</si>
  <si>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</si>
  <si>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</si>
  <si>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</si>
  <si>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</si>
  <si>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</si>
  <si>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</si>
  <si>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</si>
  <si>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</si>
  <si>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</si>
  <si>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</si>
  <si>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</si>
  <si>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</si>
  <si>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</si>
  <si>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</si>
  <si>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</si>
  <si>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</si>
  <si>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</si>
  <si>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</si>
  <si>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</si>
  <si>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</si>
  <si>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</si>
  <si>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</si>
  <si>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</si>
  <si>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</si>
  <si>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</si>
  <si>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</si>
  <si>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</si>
  <si>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</si>
  <si>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</si>
  <si>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</si>
  <si>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</si>
  <si>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</si>
  <si>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</si>
  <si>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</si>
  <si>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</si>
  <si>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</si>
  <si>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</si>
  <si>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</si>
  <si>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</si>
  <si>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</si>
  <si>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</si>
  <si>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</si>
  <si>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</si>
  <si>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</si>
  <si>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</si>
  <si>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</si>
  <si>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</si>
  <si>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</si>
  <si>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</si>
  <si>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</si>
  <si>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</si>
  <si>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</si>
  <si>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</si>
  <si>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</si>
  <si>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</si>
  <si>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</si>
  <si>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</si>
  <si>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</si>
  <si>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</si>
  <si>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</si>
  <si>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</si>
  <si>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</si>
  <si>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</si>
  <si>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</si>
  <si>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</si>
  <si>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</si>
  <si>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</si>
  <si>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</si>
  <si>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</si>
  <si>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</si>
  <si>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</si>
  <si>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</si>
  <si>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</si>
  <si>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</si>
  <si>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</si>
  <si>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</si>
  <si>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</si>
  <si>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</si>
  <si>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</si>
  <si>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</si>
  <si>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</si>
  <si>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</si>
  <si>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</si>
  <si>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</si>
  <si>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</si>
  <si>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</si>
  <si>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</si>
  <si>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</si>
  <si>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</si>
  <si>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</si>
  <si>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</si>
  <si>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</si>
  <si>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</si>
  <si>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</si>
  <si>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</si>
  <si>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</si>
  <si>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</si>
  <si>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</si>
  <si>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</si>
  <si>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</si>
  <si>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</si>
  <si>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</si>
  <si>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</si>
  <si>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</si>
  <si>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</si>
  <si>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</si>
  <si>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</si>
  <si>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</si>
  <si>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</si>
  <si>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</si>
  <si>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</si>
  <si>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</si>
  <si>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</si>
  <si>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</si>
  <si>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</si>
  <si>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</si>
  <si>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</si>
  <si>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</si>
  <si>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</si>
  <si>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</si>
  <si>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</si>
  <si>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</si>
  <si>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</si>
  <si>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</si>
  <si>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</si>
  <si>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</si>
  <si>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</si>
  <si>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</si>
  <si>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</si>
  <si>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</si>
  <si>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</si>
  <si>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</si>
  <si>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</si>
  <si>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</si>
  <si>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</si>
  <si>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</si>
  <si>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</si>
  <si>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</si>
  <si>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</si>
  <si>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</si>
  <si>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</si>
  <si>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</si>
  <si>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</si>
  <si>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</si>
  <si>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</si>
  <si>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</si>
  <si>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</si>
  <si>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</si>
  <si>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</si>
  <si>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</si>
  <si>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</si>
  <si>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</si>
  <si>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</si>
  <si>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</si>
  <si>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</si>
  <si>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</si>
  <si>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</si>
  <si>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</si>
  <si>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</si>
  <si>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</si>
  <si>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</si>
  <si>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</si>
  <si>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</si>
  <si>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</si>
  <si>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</si>
  <si>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</si>
  <si>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</si>
  <si>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</si>
  <si>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</si>
  <si>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</si>
  <si>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</si>
  <si>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</si>
  <si>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</si>
  <si>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</si>
  <si>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</si>
  <si>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</si>
  <si>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</si>
  <si>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</si>
  <si>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</si>
  <si>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</si>
  <si>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</si>
  <si>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</si>
  <si>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</si>
  <si>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</si>
  <si>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</si>
  <si>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</si>
  <si>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</si>
  <si>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</si>
  <si>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</si>
  <si>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</si>
  <si>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</si>
  <si>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</si>
  <si>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</si>
  <si>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</si>
  <si>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</si>
  <si>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</si>
  <si>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</si>
  <si>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</si>
  <si>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</si>
  <si>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</si>
  <si>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</si>
  <si>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</si>
  <si>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</si>
  <si>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</si>
  <si>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</si>
  <si>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</si>
  <si>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</si>
  <si>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</si>
  <si>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</si>
  <si>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</si>
  <si>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</si>
  <si>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</si>
  <si>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</si>
  <si>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</si>
  <si>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</si>
  <si>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</si>
  <si>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</si>
  <si>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</si>
  <si>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</si>
  <si>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</si>
  <si>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</si>
  <si>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</si>
  <si>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</si>
  <si>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</si>
  <si>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</si>
  <si>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</si>
  <si>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</si>
  <si>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</si>
  <si>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</si>
  <si>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</si>
  <si>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</si>
  <si>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</si>
  <si>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</si>
  <si>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</si>
  <si>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</si>
  <si>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</si>
  <si>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</si>
  <si>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</si>
  <si>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</si>
  <si>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</si>
  <si>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</si>
  <si>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</si>
  <si>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</si>
  <si>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</si>
  <si>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</si>
  <si>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</si>
  <si>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</si>
  <si>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</si>
  <si>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</si>
  <si>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</si>
  <si>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</si>
  <si>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</si>
  <si>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</si>
  <si>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</si>
  <si>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</si>
  <si>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</si>
  <si>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</si>
  <si>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</si>
  <si>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</si>
  <si>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</si>
  <si>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</si>
  <si>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</si>
  <si>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</si>
  <si>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</si>
  <si>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</si>
  <si>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</si>
  <si>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</si>
  <si>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</si>
  <si>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</si>
  <si>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</si>
  <si>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</si>
  <si>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</si>
  <si>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</si>
  <si>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</si>
  <si>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</si>
  <si>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</si>
  <si>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</si>
  <si>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</si>
  <si>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</si>
  <si>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</si>
  <si>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</si>
  <si>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</si>
  <si>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</si>
  <si>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</si>
  <si>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</si>
  <si>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</si>
  <si>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</si>
  <si>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</si>
  <si>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</si>
  <si>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</si>
  <si>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</si>
  <si>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</si>
  <si>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</si>
  <si>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</si>
  <si>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</si>
  <si>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</si>
  <si>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</si>
  <si>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</si>
  <si>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</si>
  <si>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</si>
  <si>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</si>
  <si>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</si>
  <si>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</si>
  <si>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</si>
  <si>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</si>
  <si>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</si>
  <si>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</si>
  <si>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</si>
  <si>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</si>
  <si>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</si>
  <si>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</si>
  <si>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</si>
  <si>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</si>
  <si>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</si>
  <si>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</si>
  <si>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</si>
  <si>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</si>
  <si>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</si>
  <si>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</si>
  <si>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</si>
  <si>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</si>
  <si>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</si>
  <si>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</si>
  <si>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</si>
  <si>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</si>
  <si>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</si>
  <si>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</si>
  <si>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</si>
  <si>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</si>
  <si>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</si>
  <si>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</si>
  <si>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</si>
  <si>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</si>
  <si>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</si>
  <si>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</si>
  <si>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</si>
  <si>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</si>
  <si>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</si>
  <si>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</si>
  <si>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</si>
  <si>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</si>
  <si>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</si>
  <si>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</si>
  <si>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</si>
  <si>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</si>
  <si>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</si>
  <si>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</si>
  <si>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</si>
  <si>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</si>
  <si>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</si>
  <si>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</si>
  <si>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</si>
  <si>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</si>
  <si>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</si>
  <si>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</si>
  <si>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</si>
  <si>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</si>
  <si>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</si>
  <si>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</si>
  <si>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</si>
  <si>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</si>
  <si>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</si>
  <si>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</si>
  <si>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</si>
  <si>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</si>
  <si>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</si>
  <si>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</si>
  <si>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</si>
  <si>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</si>
  <si>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</si>
  <si>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</si>
  <si>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</si>
  <si>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</si>
  <si>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</si>
  <si>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</si>
  <si>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</si>
  <si>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</si>
  <si>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</si>
  <si>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</si>
  <si>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</si>
  <si>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</si>
  <si>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</si>
  <si>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</si>
  <si>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</si>
  <si>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</si>
  <si>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</si>
  <si>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</si>
  <si>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</si>
  <si>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</si>
  <si>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</si>
  <si>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</si>
  <si>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</si>
  <si>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</si>
  <si>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</si>
  <si>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</si>
  <si>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</si>
  <si>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</si>
  <si>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</si>
  <si>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</si>
  <si>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</si>
  <si>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</si>
  <si>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</si>
  <si>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</si>
  <si>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</si>
  <si>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</si>
  <si>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</si>
  <si>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</si>
  <si>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</si>
  <si>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</si>
  <si>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</si>
  <si>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</si>
  <si>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</si>
  <si>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</si>
  <si>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</si>
  <si>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</si>
  <si>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</si>
  <si>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</si>
  <si>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</si>
  <si>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</si>
  <si>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</si>
  <si>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</si>
  <si>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</si>
  <si>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</si>
  <si>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</si>
  <si>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</si>
  <si>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</si>
  <si>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</si>
  <si>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</si>
  <si>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</si>
  <si>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</si>
  <si>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</si>
  <si>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</si>
  <si>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</si>
  <si>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</si>
  <si>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</si>
  <si>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</si>
  <si>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</si>
  <si>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</si>
  <si>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</si>
  <si>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</si>
  <si>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</si>
  <si>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</si>
  <si>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</si>
  <si>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</si>
  <si>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</si>
  <si>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</si>
  <si>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</si>
  <si>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</si>
  <si>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</si>
  <si>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</si>
  <si>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</si>
  <si>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</si>
  <si>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</si>
  <si>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</si>
  <si>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</si>
  <si>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</si>
  <si>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</si>
  <si>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</si>
  <si>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</si>
  <si>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</si>
  <si>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</si>
  <si>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</si>
  <si>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</si>
  <si>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</si>
  <si>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</si>
  <si>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</si>
  <si>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</si>
  <si>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</si>
  <si>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</si>
  <si>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</si>
  <si>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</si>
  <si>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</si>
  <si>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</si>
  <si>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</si>
  <si>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</si>
  <si>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</si>
  <si>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</si>
  <si>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</si>
  <si>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</si>
  <si>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</si>
  <si>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</si>
  <si>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</si>
  <si>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</si>
  <si>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</si>
  <si>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</si>
  <si>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</si>
  <si>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</si>
  <si>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</si>
  <si>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</si>
  <si>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</si>
  <si>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</si>
  <si>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</si>
  <si>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</si>
  <si>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</si>
  <si>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</si>
  <si>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</si>
  <si>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</si>
  <si>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</si>
  <si>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</si>
  <si>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</si>
  <si>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</si>
  <si>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</si>
  <si>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</si>
  <si>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</si>
  <si>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</si>
  <si>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</si>
  <si>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</si>
  <si>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</si>
  <si>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</si>
  <si>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</si>
  <si>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</si>
  <si>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</si>
  <si>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</si>
  <si>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</si>
  <si>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</si>
  <si>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</si>
  <si>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</si>
  <si>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</si>
  <si>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</si>
  <si>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</si>
  <si>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</si>
  <si>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</si>
  <si>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</si>
  <si>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</si>
  <si>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</si>
  <si>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</si>
  <si>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</si>
  <si>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</si>
  <si>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</si>
  <si>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</si>
  <si>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</si>
  <si>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</si>
  <si>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</si>
  <si>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</si>
  <si>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</si>
  <si>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</si>
  <si>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</si>
  <si>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</si>
  <si>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</si>
  <si>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</si>
  <si>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</si>
  <si>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</si>
  <si>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</si>
  <si>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</si>
  <si>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</si>
  <si>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</si>
  <si>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</si>
  <si>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</si>
  <si>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</si>
  <si>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</si>
  <si>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</si>
  <si>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</si>
  <si>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</si>
  <si>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</si>
  <si>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</si>
  <si>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</si>
  <si>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</si>
  <si>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</si>
  <si>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</si>
  <si>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</si>
  <si>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</si>
  <si>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</si>
  <si>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</si>
  <si>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</si>
  <si>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</si>
  <si>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</si>
  <si>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</si>
  <si>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</si>
  <si>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</si>
  <si>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</si>
  <si>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</si>
  <si>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</si>
  <si>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</si>
  <si>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</si>
  <si>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</si>
  <si>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</si>
  <si>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</si>
  <si>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</si>
  <si>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</si>
  <si>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</si>
  <si>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</si>
  <si>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</si>
  <si>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</si>
  <si>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</si>
  <si>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</si>
  <si>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</si>
  <si>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</si>
  <si>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</si>
  <si>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</si>
  <si>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</si>
  <si>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</si>
  <si>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</si>
  <si>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</si>
  <si>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</si>
  <si>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</si>
  <si>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</si>
  <si>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</si>
  <si>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</si>
  <si>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</si>
  <si>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</si>
  <si>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</si>
  <si>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</si>
  <si>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</si>
  <si>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</si>
  <si>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</si>
  <si>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</si>
  <si>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</si>
  <si>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</si>
  <si>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</si>
  <si>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</si>
  <si>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</si>
  <si>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</si>
  <si>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</si>
  <si>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</si>
  <si>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</si>
  <si>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</si>
  <si>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</si>
  <si>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</si>
  <si>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</si>
  <si>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</si>
  <si>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</si>
  <si>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</si>
  <si>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</si>
  <si>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</si>
  <si>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</si>
  <si>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</si>
  <si>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</si>
  <si>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</si>
  <si>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</si>
  <si>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</si>
  <si>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</si>
  <si>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</si>
  <si>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</si>
  <si>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</si>
  <si>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</si>
  <si>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</si>
  <si>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</si>
  <si>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</si>
  <si>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</si>
  <si>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</si>
  <si>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</si>
  <si>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</si>
  <si>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</si>
  <si>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</si>
  <si>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</si>
  <si>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</si>
  <si>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</si>
  <si>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</si>
  <si>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</si>
  <si>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</si>
  <si>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</si>
  <si>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</si>
  <si>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</si>
  <si>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</si>
  <si>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</si>
  <si>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</si>
  <si>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</si>
  <si>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</si>
  <si>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</si>
  <si>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</si>
  <si>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</si>
  <si>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</si>
  <si>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</si>
  <si>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</si>
  <si>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</si>
  <si>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</si>
  <si>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</si>
  <si>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</si>
  <si>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</si>
  <si>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</si>
  <si>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</si>
  <si>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</si>
  <si>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</si>
  <si>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</si>
  <si>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</si>
  <si>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</si>
  <si>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</si>
  <si>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</si>
  <si>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</si>
  <si>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</si>
  <si>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</si>
  <si>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</si>
  <si>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</si>
  <si>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</si>
  <si>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</si>
  <si>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</si>
  <si>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</si>
  <si>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</si>
  <si>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</si>
  <si>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</si>
  <si>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</si>
  <si>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</si>
  <si>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</si>
  <si>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</si>
  <si>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</si>
  <si>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</si>
  <si>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</si>
  <si>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</si>
  <si>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</si>
  <si>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</si>
  <si>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</si>
  <si>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</si>
  <si>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</si>
  <si>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</si>
  <si>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</si>
  <si>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</si>
  <si>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</si>
  <si>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</si>
  <si>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</si>
  <si>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</si>
  <si>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</si>
  <si>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</si>
  <si>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</si>
  <si>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</si>
  <si>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</si>
  <si>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</si>
  <si>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</si>
  <si>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</si>
  <si>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</si>
  <si>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</si>
  <si>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</si>
  <si>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</si>
  <si>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</si>
  <si>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</si>
  <si>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</si>
  <si>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</si>
  <si>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</si>
  <si>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</si>
  <si>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</si>
  <si>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</si>
  <si>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</si>
  <si>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</si>
  <si>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</si>
  <si>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</si>
  <si>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</si>
  <si>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</si>
  <si>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</si>
  <si>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</si>
  <si>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</si>
  <si>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</si>
  <si>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</si>
  <si>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</si>
  <si>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</si>
  <si>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</si>
  <si>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</si>
  <si>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</si>
  <si>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</si>
  <si>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</si>
  <si>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</si>
  <si>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</si>
  <si>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</si>
  <si>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</si>
  <si>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</si>
  <si>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</si>
  <si>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</si>
  <si>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</si>
  <si>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</si>
  <si>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</si>
  <si>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</si>
  <si>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</si>
  <si>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</si>
  <si>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</si>
  <si>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</si>
  <si>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</si>
  <si>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</si>
  <si>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</si>
  <si>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</si>
  <si>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</si>
  <si>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</si>
  <si>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</si>
  <si>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</si>
  <si>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</si>
  <si>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</si>
  <si>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</si>
  <si>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</si>
  <si>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</si>
  <si>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</si>
  <si>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</si>
  <si>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</si>
  <si>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</si>
  <si>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</si>
  <si>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</si>
  <si>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</si>
  <si>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</si>
  <si>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</si>
  <si>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</si>
  <si>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</si>
  <si>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</si>
  <si>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</si>
  <si>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</si>
  <si>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</si>
  <si>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</si>
  <si>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</si>
  <si>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</si>
  <si>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</si>
  <si>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</si>
  <si>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</si>
  <si>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</si>
  <si>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</si>
  <si>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</si>
  <si>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</si>
  <si>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</si>
  <si>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</si>
  <si>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</si>
  <si>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</si>
  <si>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</si>
  <si>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</si>
  <si>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</si>
  <si>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</si>
  <si>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</si>
  <si>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</si>
  <si>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</si>
  <si>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</si>
  <si>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</si>
  <si>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</si>
  <si>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</si>
  <si>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</si>
  <si>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</si>
  <si>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</si>
  <si>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</si>
  <si>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</si>
  <si>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</si>
  <si>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</si>
  <si>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</si>
  <si>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</si>
  <si>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</si>
  <si>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</si>
  <si>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</si>
  <si>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</si>
  <si>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</si>
  <si>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</si>
  <si>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</si>
  <si>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</si>
  <si>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</si>
  <si>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</si>
  <si>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</si>
  <si>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</si>
  <si>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</si>
  <si>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</si>
  <si>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</si>
  <si>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</si>
  <si>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</si>
  <si>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</si>
  <si>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</si>
  <si>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</si>
  <si>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</si>
  <si>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</si>
  <si>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</si>
  <si>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</si>
  <si>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</si>
  <si>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</si>
  <si>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</si>
  <si>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</si>
  <si>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</si>
  <si>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</si>
  <si>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</si>
  <si>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</si>
  <si>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</si>
  <si>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</si>
  <si>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</si>
  <si>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</si>
  <si>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</si>
  <si>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</si>
  <si>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</si>
  <si>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</si>
  <si>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</si>
  <si>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</si>
  <si>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</si>
  <si>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</si>
  <si>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</si>
  <si>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</si>
  <si>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</si>
  <si>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</si>
  <si>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</si>
  <si>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</si>
  <si>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</si>
  <si>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</si>
  <si>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</si>
  <si>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</si>
  <si>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</si>
  <si>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</si>
  <si>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</si>
  <si>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</si>
  <si>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</si>
  <si>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</si>
  <si>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</si>
  <si>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</si>
  <si>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</si>
  <si>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</si>
  <si>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</si>
  <si>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</si>
  <si>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</si>
  <si>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</si>
  <si>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</si>
  <si>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</si>
  <si>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</si>
  <si>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</si>
  <si>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</si>
  <si>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</si>
  <si>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</si>
  <si>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</si>
  <si>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</si>
  <si>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</si>
  <si>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</si>
  <si>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</si>
  <si>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</si>
  <si>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</si>
  <si>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</si>
  <si>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</si>
  <si>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</si>
  <si>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</si>
  <si>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</si>
  <si>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</si>
  <si>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</si>
  <si>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</si>
  <si>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</si>
  <si>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</si>
  <si>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</si>
  <si>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</si>
  <si>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</si>
  <si>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</si>
  <si>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</si>
  <si>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</si>
  <si>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</si>
  <si>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</si>
  <si>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</si>
  <si>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</si>
  <si>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</si>
  <si>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</si>
  <si>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</si>
  <si>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</si>
  <si>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</si>
  <si>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</si>
  <si>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</si>
  <si>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</si>
  <si>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</si>
  <si>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</si>
  <si>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</si>
  <si>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</si>
  <si>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</si>
  <si>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</si>
  <si>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</si>
  <si>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</si>
  <si>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</si>
  <si>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</si>
  <si>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</si>
  <si>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</si>
  <si>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</si>
  <si>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</si>
  <si>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</si>
  <si>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</si>
  <si>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</si>
  <si>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</si>
  <si>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</si>
  <si>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</si>
  <si>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</si>
  <si>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</si>
  <si>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</si>
  <si>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</si>
  <si>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</si>
  <si>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</si>
  <si>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</si>
  <si>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</si>
  <si>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</si>
  <si>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</si>
  <si>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</si>
  <si>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</si>
  <si>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</si>
  <si>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</si>
  <si>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</si>
  <si>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</si>
  <si>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</si>
  <si>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</si>
  <si>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</si>
  <si>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</si>
  <si>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</si>
  <si>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</si>
  <si>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</si>
  <si>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</si>
  <si>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</si>
  <si>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</si>
  <si>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</si>
  <si>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</si>
  <si>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</si>
  <si>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</si>
  <si>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</si>
  <si>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</si>
  <si>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</si>
  <si>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</si>
  <si>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</si>
  <si>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</si>
  <si>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</si>
  <si>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</si>
  <si>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</si>
  <si>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</si>
  <si>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</si>
  <si>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</si>
  <si>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</si>
  <si>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</si>
  <si>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</si>
  <si>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</si>
  <si>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</si>
  <si>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</si>
  <si>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</si>
  <si>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</si>
  <si>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</si>
  <si>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</si>
  <si>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</si>
  <si>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</si>
  <si>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</si>
  <si>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</si>
  <si>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</si>
  <si>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</si>
  <si>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</si>
  <si>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</si>
  <si>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</si>
  <si>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</si>
  <si>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</si>
  <si>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</si>
  <si>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</si>
  <si>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</si>
  <si>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</si>
  <si>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</si>
  <si>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</si>
  <si>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</si>
  <si>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</si>
  <si>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</si>
  <si>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</si>
  <si>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</si>
  <si>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</si>
  <si>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</si>
  <si>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</si>
  <si>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</si>
  <si>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</si>
  <si>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</si>
  <si>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</si>
  <si>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</si>
  <si>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</si>
  <si>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</si>
  <si>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</si>
  <si>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</si>
  <si>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</si>
  <si>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</si>
  <si>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</si>
  <si>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</si>
  <si>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</si>
  <si>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</si>
  <si>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</si>
  <si>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</si>
  <si>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</si>
  <si>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</si>
  <si>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</si>
  <si>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</si>
  <si>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</si>
  <si>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</si>
  <si>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</si>
  <si>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</si>
  <si>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</si>
  <si>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</si>
  <si>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</si>
  <si>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</si>
  <si>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</si>
  <si>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</si>
  <si>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</si>
  <si>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</si>
  <si>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</si>
  <si>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</si>
  <si>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</si>
  <si>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</si>
  <si>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</si>
  <si>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</si>
  <si>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</si>
  <si>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</si>
  <si>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</si>
  <si>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</si>
  <si>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</si>
  <si>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</si>
  <si>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</si>
  <si>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</si>
  <si>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</si>
  <si>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</si>
  <si>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</si>
  <si>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</si>
  <si>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</si>
  <si>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</si>
  <si>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</si>
  <si>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</si>
  <si>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</si>
  <si>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</si>
  <si>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</si>
  <si>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</si>
  <si>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</si>
  <si>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</si>
  <si>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</si>
  <si>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</si>
  <si>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</si>
  <si>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</si>
  <si>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</si>
  <si>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</si>
  <si>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</si>
  <si>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</si>
  <si>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</si>
  <si>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</si>
  <si>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</si>
  <si>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</si>
  <si>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</si>
  <si>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</si>
  <si>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</si>
  <si>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</si>
  <si>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</si>
  <si>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</si>
  <si>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</si>
  <si>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</si>
  <si>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</si>
  <si>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</si>
  <si>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</si>
  <si>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</si>
  <si>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</si>
  <si>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</si>
  <si>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</si>
  <si>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</si>
  <si>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</si>
  <si>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</si>
  <si>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</si>
  <si>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</si>
  <si>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</si>
  <si>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</si>
  <si>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</si>
  <si>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</si>
  <si>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</si>
  <si>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</si>
  <si>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</si>
  <si>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</si>
  <si>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</si>
  <si>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</si>
  <si>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</si>
  <si>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</si>
  <si>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</si>
  <si>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</si>
  <si>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</si>
  <si>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</si>
  <si>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</si>
  <si>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</si>
  <si>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</si>
  <si>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</si>
  <si>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</si>
  <si>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</si>
  <si>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</si>
  <si>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</si>
  <si>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</si>
  <si>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</si>
  <si>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</si>
  <si>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</si>
  <si>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</si>
  <si>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</si>
  <si>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</si>
  <si>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</si>
  <si>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</si>
  <si>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</si>
  <si>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</si>
  <si>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</si>
  <si>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</si>
  <si>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</si>
  <si>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</si>
  <si>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</si>
  <si>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</si>
  <si>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</si>
  <si>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</si>
  <si>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</si>
  <si>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</si>
  <si>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</si>
  <si>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</si>
  <si>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</si>
  <si>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</si>
  <si>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</si>
  <si>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</si>
  <si>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</si>
  <si>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</si>
  <si>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</si>
  <si>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</si>
  <si>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</si>
  <si>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</si>
  <si>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</si>
  <si>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</si>
  <si>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</si>
  <si>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</si>
  <si>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</si>
  <si>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</si>
  <si>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</si>
  <si>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</si>
  <si>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</si>
  <si>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</si>
  <si>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</si>
  <si>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</si>
  <si>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</si>
  <si>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</si>
  <si>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</si>
  <si>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</si>
  <si>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</si>
  <si>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</si>
  <si>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</si>
  <si>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</si>
  <si>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</si>
  <si>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</si>
  <si>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</si>
  <si>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</si>
  <si>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</si>
  <si>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</si>
  <si>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</si>
  <si>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</si>
  <si>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</si>
  <si>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</si>
  <si>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</si>
  <si>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</si>
  <si>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</si>
  <si>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</si>
  <si>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</si>
  <si>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</si>
  <si>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</si>
  <si>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</si>
  <si>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</si>
  <si>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</si>
  <si>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</si>
  <si>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</si>
  <si>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</si>
  <si>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</si>
  <si>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</si>
  <si>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</si>
  <si>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</si>
  <si>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</si>
  <si>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</si>
  <si>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</si>
  <si>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</si>
  <si>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</si>
  <si>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</si>
  <si>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</si>
  <si>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</si>
  <si>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</si>
  <si>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</si>
  <si>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</si>
  <si>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</si>
  <si>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</si>
  <si>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</si>
  <si>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</si>
  <si>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</si>
  <si>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</si>
  <si>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</si>
  <si>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</si>
  <si>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</si>
  <si>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</si>
  <si>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</si>
  <si>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</si>
  <si>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</si>
  <si>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</si>
  <si>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</si>
  <si>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</si>
  <si>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</si>
  <si>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</si>
  <si>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</si>
  <si>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</si>
  <si>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</si>
  <si>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</si>
  <si>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</si>
  <si>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</si>
  <si>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</si>
  <si>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</si>
  <si>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</si>
  <si>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</si>
  <si>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</si>
  <si>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</si>
  <si>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</si>
  <si>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</si>
  <si>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</si>
  <si>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</si>
  <si>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</si>
  <si>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</si>
  <si>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</si>
  <si>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</si>
  <si>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</si>
  <si>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</si>
  <si>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</si>
  <si>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</si>
  <si>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</si>
  <si>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</si>
  <si>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</si>
  <si>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</si>
  <si>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</si>
  <si>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</si>
  <si>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</si>
  <si>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</si>
  <si>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</si>
  <si>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</si>
  <si>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</si>
  <si>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</si>
  <si>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</si>
  <si>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</si>
  <si>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</si>
  <si>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</si>
  <si>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</si>
  <si>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</si>
  <si>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</si>
  <si>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</si>
  <si>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</si>
  <si>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</si>
  <si>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</si>
  <si>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</si>
  <si>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</si>
  <si>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</si>
  <si>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</si>
  <si>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</si>
  <si>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</si>
  <si>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</si>
  <si>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</si>
  <si>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</si>
  <si>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</si>
  <si>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</si>
  <si>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</si>
  <si>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</si>
  <si>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</si>
  <si>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</si>
  <si>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</si>
  <si>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</si>
  <si>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</si>
  <si>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</si>
  <si>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</si>
  <si>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</si>
  <si>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</si>
  <si>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</si>
  <si>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</si>
  <si>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</si>
  <si>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</si>
  <si>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</si>
  <si>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</si>
  <si>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</si>
  <si>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</si>
  <si>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</si>
  <si>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</si>
  <si>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</si>
  <si>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</si>
  <si>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</si>
  <si>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</si>
  <si>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</si>
  <si>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</si>
  <si>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</si>
  <si>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</si>
  <si>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</si>
  <si>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</si>
  <si>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</si>
  <si>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</si>
  <si>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</si>
  <si>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</si>
  <si>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</si>
  <si>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</si>
  <si>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</si>
  <si>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</si>
  <si>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</si>
  <si>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</si>
  <si>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</si>
  <si>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</si>
  <si>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</si>
  <si>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</si>
  <si>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</si>
  <si>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</si>
  <si>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</si>
  <si>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</si>
  <si>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</si>
  <si>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</si>
  <si>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</si>
  <si>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</si>
  <si>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</si>
  <si>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</si>
  <si>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</si>
  <si>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</si>
  <si>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</si>
  <si>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</si>
  <si>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</si>
  <si>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</si>
  <si>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</si>
  <si>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</si>
  <si>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</si>
  <si>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</si>
  <si>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</si>
  <si>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</si>
  <si>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</si>
  <si>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</si>
  <si>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</si>
  <si>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</si>
  <si>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</si>
  <si>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</si>
  <si>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</si>
  <si>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</si>
  <si>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</si>
  <si>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</si>
  <si>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</si>
  <si>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</si>
  <si>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</si>
  <si>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</si>
  <si>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</si>
  <si>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</si>
  <si>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</si>
  <si>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</si>
  <si>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</si>
  <si>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</si>
  <si>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</si>
  <si>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</si>
  <si>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</si>
  <si>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</si>
  <si>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</si>
  <si>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</si>
  <si>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</si>
  <si>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</si>
  <si>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</si>
  <si>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</si>
  <si>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</si>
  <si>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</si>
  <si>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</si>
  <si>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</si>
  <si>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</si>
  <si>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</si>
  <si>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</si>
  <si>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</si>
  <si>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</si>
  <si>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</si>
  <si>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</si>
  <si>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</si>
  <si>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</si>
  <si>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</si>
  <si>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</si>
  <si>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</si>
  <si>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</si>
  <si>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</si>
  <si>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</si>
  <si>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</si>
  <si>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</si>
  <si>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</si>
  <si>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</si>
  <si>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</si>
  <si>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</si>
  <si>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</si>
  <si>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</si>
  <si>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</si>
  <si>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</si>
  <si>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</si>
  <si>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</si>
  <si>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</si>
  <si>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</si>
  <si>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</si>
  <si>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</si>
  <si>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</si>
  <si>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</si>
  <si>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</si>
  <si>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</si>
  <si>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</si>
  <si>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</si>
  <si>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</si>
  <si>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</si>
  <si>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</si>
  <si>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</si>
  <si>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</si>
  <si>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</si>
  <si>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</si>
  <si>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</si>
  <si>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</si>
  <si>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</si>
  <si>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</si>
  <si>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</si>
  <si>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</si>
  <si>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</si>
  <si>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</si>
  <si>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</si>
  <si>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</si>
  <si>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</si>
  <si>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</si>
  <si>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</si>
  <si>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</si>
  <si>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</si>
  <si>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</si>
  <si>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</si>
  <si>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</si>
  <si>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</si>
  <si>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</si>
  <si>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</si>
  <si>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</si>
  <si>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</si>
  <si>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</si>
  <si>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</si>
  <si>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</si>
  <si>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</si>
  <si>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</si>
  <si>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</si>
  <si>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</si>
  <si>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</si>
  <si>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</si>
  <si>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</si>
  <si>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</si>
  <si>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</si>
  <si>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</si>
  <si>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</si>
  <si>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</si>
  <si>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</si>
  <si>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</si>
  <si>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</si>
  <si>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</si>
  <si>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</si>
  <si>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</si>
  <si>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</si>
  <si>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</si>
  <si>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</si>
  <si>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</si>
  <si>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</si>
  <si>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</si>
  <si>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</si>
  <si>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</si>
  <si>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</si>
  <si>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</si>
  <si>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</si>
  <si>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</si>
  <si>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</si>
  <si>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</si>
  <si>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</si>
  <si>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</si>
  <si>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</si>
  <si>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</si>
  <si>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</si>
  <si>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</si>
  <si>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</si>
  <si>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</si>
  <si>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</si>
  <si>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</si>
  <si>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</si>
  <si>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</si>
  <si>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</si>
  <si>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</si>
  <si>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</si>
  <si>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</si>
  <si>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</si>
  <si>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</si>
  <si>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</si>
  <si>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</si>
  <si>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</si>
  <si>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</si>
  <si>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</si>
  <si>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</si>
  <si>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</si>
  <si>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</si>
  <si>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</si>
  <si>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</si>
  <si>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</si>
  <si>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</si>
  <si>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</si>
  <si>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</si>
  <si>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</si>
  <si>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</si>
  <si>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</si>
  <si>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</si>
  <si>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</si>
  <si>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</si>
  <si>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</si>
  <si>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</si>
  <si>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</si>
  <si>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</si>
  <si>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</si>
  <si>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</si>
  <si>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</si>
  <si>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</si>
  <si>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</si>
  <si>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</si>
  <si>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</si>
  <si>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</si>
  <si>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</si>
  <si>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</si>
  <si>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</si>
  <si>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</si>
  <si>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</si>
  <si>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</si>
  <si>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</si>
  <si>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</si>
  <si>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</si>
  <si>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</si>
  <si>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</si>
  <si>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</si>
  <si>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</si>
  <si>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</si>
  <si>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</si>
  <si>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</si>
  <si>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</si>
  <si>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</si>
  <si>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</si>
  <si>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</si>
  <si>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</si>
  <si>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</si>
  <si>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</si>
  <si>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</si>
  <si>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</si>
  <si>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</si>
  <si>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</si>
  <si>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</si>
  <si>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</si>
  <si>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</si>
  <si>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</si>
  <si>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</si>
  <si>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</si>
  <si>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</si>
  <si>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</si>
  <si>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</si>
  <si>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</si>
  <si>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</si>
  <si>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</si>
  <si>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</si>
  <si>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</si>
  <si>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</si>
  <si>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</si>
  <si>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</si>
  <si>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</si>
  <si>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</si>
  <si>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</si>
  <si>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</si>
  <si>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</si>
  <si>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</si>
  <si>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</si>
  <si>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</si>
  <si>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</si>
  <si>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</si>
  <si>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</si>
  <si>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</si>
  <si>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</si>
  <si>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</si>
  <si>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</si>
  <si>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</si>
  <si>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</si>
  <si>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</si>
  <si>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</si>
  <si>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</si>
  <si>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</si>
  <si>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</si>
  <si>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</si>
  <si>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</si>
  <si>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</si>
  <si>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</si>
  <si>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</si>
  <si>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</si>
  <si>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</si>
  <si>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</si>
  <si>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</si>
  <si>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</si>
  <si>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</si>
  <si>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</si>
  <si>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</si>
  <si>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</si>
  <si>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</si>
  <si>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</si>
  <si>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</si>
  <si>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</si>
  <si>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</si>
  <si>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</si>
  <si>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</si>
  <si>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</si>
  <si>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</si>
  <si>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</si>
  <si>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</si>
  <si>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</si>
  <si>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</si>
  <si>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</si>
  <si>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</si>
  <si>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</si>
  <si>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</si>
  <si>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</si>
  <si>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</si>
  <si>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</si>
  <si>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</si>
  <si>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</si>
  <si>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</si>
  <si>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</si>
  <si>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</si>
  <si>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</si>
  <si>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</si>
  <si>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</si>
  <si>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</si>
  <si>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</si>
  <si>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</si>
  <si>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</si>
  <si>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</si>
  <si>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</si>
  <si>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</si>
  <si>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</si>
  <si>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</si>
  <si>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</si>
  <si>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</si>
  <si>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</si>
  <si>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</si>
  <si>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</si>
  <si>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</si>
  <si>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</si>
  <si>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</si>
  <si>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</si>
  <si>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</si>
  <si>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</si>
  <si>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</si>
  <si>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</si>
  <si>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</si>
  <si>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</si>
  <si>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</si>
  <si>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</si>
  <si>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</si>
  <si>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</si>
  <si>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</si>
  <si>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</si>
  <si>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</si>
  <si>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</si>
  <si>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</si>
  <si>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</si>
  <si>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</si>
  <si>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</si>
  <si>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</si>
  <si>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</si>
  <si>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</si>
  <si>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</si>
  <si>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</si>
  <si>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</si>
  <si>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</si>
  <si>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</si>
  <si>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</si>
  <si>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</si>
  <si>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</si>
  <si>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</si>
  <si>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</si>
  <si>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</si>
  <si>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</si>
  <si>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</si>
  <si>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</si>
  <si>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</si>
  <si>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</si>
  <si>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</si>
  <si>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</si>
  <si>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</si>
  <si>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</si>
  <si>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</si>
  <si>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</si>
  <si>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</si>
  <si>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</si>
  <si>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</si>
  <si>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</si>
  <si>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</si>
  <si>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</si>
  <si>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</si>
  <si>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</si>
  <si>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</si>
  <si>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</si>
  <si>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</si>
  <si>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</si>
  <si>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</si>
  <si>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</si>
  <si>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</si>
  <si>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</si>
  <si>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</si>
  <si>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</si>
  <si>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</si>
  <si>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</si>
  <si>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</si>
  <si>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</si>
  <si>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</si>
  <si>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</si>
  <si>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</si>
  <si>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</si>
  <si>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</si>
  <si>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</si>
  <si>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</si>
  <si>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</si>
  <si>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</si>
  <si>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</si>
  <si>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</si>
  <si>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</si>
  <si>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</si>
  <si>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</si>
  <si>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</si>
  <si>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</si>
  <si>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</si>
  <si>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</si>
  <si>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</si>
  <si>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</si>
  <si>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</si>
  <si>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</si>
  <si>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</si>
  <si>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</si>
  <si>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</si>
  <si>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</si>
  <si>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</si>
  <si>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</si>
  <si>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</si>
  <si>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</si>
  <si>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</si>
  <si>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</si>
  <si>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</si>
  <si>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</si>
  <si>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</si>
  <si>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</si>
  <si>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</si>
  <si>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</si>
  <si>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</si>
  <si>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</si>
  <si>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</si>
  <si>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</si>
  <si>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</si>
  <si>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</si>
  <si>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</si>
  <si>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</si>
  <si>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</si>
  <si>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</si>
  <si>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</si>
  <si>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</si>
  <si>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</si>
  <si>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</si>
  <si>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</si>
  <si>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</si>
  <si>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</si>
  <si>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</si>
  <si>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</si>
  <si>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</si>
  <si>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</si>
  <si>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</si>
  <si>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</si>
  <si>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</si>
  <si>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</si>
  <si>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</si>
  <si>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</si>
  <si>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</si>
  <si>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</si>
  <si>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</si>
  <si>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</si>
  <si>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</si>
  <si>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</si>
  <si>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</si>
  <si>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</si>
  <si>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</si>
  <si>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</si>
  <si>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</si>
  <si>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</si>
  <si>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</si>
  <si>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</si>
  <si>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</si>
  <si>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</si>
  <si>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</si>
  <si>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</si>
  <si>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</si>
  <si>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</si>
  <si>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</si>
  <si>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</si>
  <si>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</si>
  <si>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</si>
  <si>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</si>
  <si>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</si>
  <si>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</si>
  <si>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</si>
  <si>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</si>
  <si>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</si>
  <si>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</si>
  <si>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</si>
  <si>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</si>
  <si>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</si>
  <si>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</si>
  <si>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</si>
  <si>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</si>
  <si>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</si>
  <si>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</si>
  <si>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</si>
  <si>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</si>
  <si>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</si>
  <si>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</si>
  <si>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</si>
  <si>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</si>
  <si>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</si>
  <si>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</si>
  <si>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</si>
  <si>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</si>
  <si>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</si>
  <si>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</si>
  <si>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</si>
  <si>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</si>
  <si>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</si>
  <si>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</si>
  <si>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</si>
  <si>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</si>
  <si>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</si>
  <si>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</si>
  <si>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</si>
  <si>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</si>
  <si>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</si>
  <si>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</si>
  <si>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</si>
  <si>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</si>
  <si>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</si>
  <si>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</si>
  <si>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</si>
  <si>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</si>
  <si>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</si>
  <si>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</si>
  <si>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</si>
  <si>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</si>
  <si>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</si>
  <si>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</si>
  <si>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</si>
  <si>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</si>
  <si>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</si>
  <si>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</si>
  <si>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</si>
  <si>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</si>
  <si>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</si>
  <si>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</si>
  <si>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</si>
  <si>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</si>
  <si>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</si>
  <si>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</si>
  <si>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</si>
  <si>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</si>
  <si>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</si>
  <si>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</si>
  <si>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</si>
  <si>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</si>
  <si>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</si>
  <si>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</si>
  <si>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</si>
  <si>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</si>
  <si>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</si>
  <si>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</si>
  <si>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</si>
  <si>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</si>
  <si>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</si>
  <si>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</si>
  <si>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</si>
  <si>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</si>
  <si>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</si>
  <si>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</si>
  <si>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</si>
  <si>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</si>
  <si>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</si>
  <si>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</si>
  <si>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</si>
  <si>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</si>
  <si>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</si>
  <si>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</si>
  <si>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</si>
  <si>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</si>
  <si>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</si>
  <si>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</si>
  <si>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</si>
  <si>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</si>
  <si>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</si>
  <si>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</si>
  <si>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</si>
  <si>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</si>
  <si>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</si>
  <si>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</si>
  <si>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</si>
  <si>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</si>
  <si>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</si>
  <si>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</si>
  <si>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</si>
  <si>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</si>
  <si>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</si>
  <si>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</si>
  <si>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</si>
  <si>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</si>
  <si>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</si>
  <si>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</si>
  <si>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</si>
  <si>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</si>
  <si>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</si>
  <si>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</si>
  <si>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</si>
  <si>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</si>
  <si>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</si>
  <si>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</si>
  <si>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</si>
  <si>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</si>
  <si>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</si>
  <si>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</si>
  <si>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</si>
  <si>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</si>
  <si>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</si>
  <si>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</si>
  <si>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</si>
  <si>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</si>
  <si>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</si>
  <si>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</si>
  <si>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</si>
  <si>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</si>
  <si>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</si>
  <si>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</si>
  <si>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</si>
  <si>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</si>
  <si>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</si>
  <si>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</si>
  <si>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</si>
  <si>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</si>
  <si>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</si>
  <si>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</si>
  <si>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</si>
  <si>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</si>
  <si>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</si>
  <si>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</si>
  <si>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</si>
  <si>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</si>
  <si>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</si>
  <si>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</si>
  <si>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</si>
  <si>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</si>
  <si>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</si>
  <si>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</si>
  <si>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</si>
  <si>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</si>
  <si>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</si>
  <si>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</si>
  <si>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</si>
  <si>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</si>
  <si>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</si>
  <si>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</si>
  <si>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</si>
  <si>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</si>
  <si>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</si>
  <si>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</si>
  <si>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</si>
  <si>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</si>
  <si>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</si>
  <si>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</si>
  <si>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</si>
  <si>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</si>
  <si>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</si>
  <si>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</si>
  <si>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</si>
  <si>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</si>
  <si>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</si>
  <si>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</si>
  <si>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</si>
  <si>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</si>
  <si>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</si>
  <si>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</si>
  <si>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</si>
  <si>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</si>
  <si>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</si>
  <si>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</si>
  <si>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</si>
  <si>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</si>
  <si>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</si>
  <si>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</si>
  <si>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</si>
  <si>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</si>
  <si>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</si>
  <si>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</si>
  <si>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</si>
  <si>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</si>
  <si>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</si>
  <si>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</si>
  <si>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</si>
  <si>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</si>
  <si>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</si>
  <si>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</si>
  <si>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</si>
  <si>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</si>
  <si>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</si>
  <si>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</si>
  <si>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</si>
  <si>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</si>
  <si>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</si>
  <si>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</si>
  <si>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</si>
  <si>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</si>
  <si>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</si>
  <si>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</si>
  <si>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</si>
  <si>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</si>
  <si>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</si>
  <si>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</si>
  <si>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</si>
  <si>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</si>
  <si>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</si>
  <si>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</si>
  <si>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</si>
  <si>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</si>
  <si>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</si>
  <si>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</si>
  <si>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</si>
  <si>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</si>
  <si>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</si>
  <si>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</si>
  <si>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</si>
  <si>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</si>
  <si>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</si>
  <si>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</si>
  <si>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</si>
  <si>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</si>
  <si>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</si>
  <si>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</si>
  <si>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</si>
  <si>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</si>
  <si>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</si>
  <si>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</si>
  <si>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</si>
  <si>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</si>
  <si>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</si>
  <si>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</si>
  <si>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</si>
  <si>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</si>
  <si>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</si>
  <si>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</si>
  <si>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</si>
  <si>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</si>
  <si>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</si>
  <si>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</si>
  <si>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</si>
  <si>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</si>
  <si>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</si>
  <si>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</si>
  <si>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</si>
  <si>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</si>
  <si>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</si>
  <si>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</si>
  <si>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</si>
  <si>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</si>
  <si>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</si>
  <si>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</si>
  <si>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</si>
  <si>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</si>
  <si>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</si>
  <si>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</si>
  <si>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</si>
  <si>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</si>
  <si>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</si>
  <si>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</si>
  <si>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</si>
  <si>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</si>
  <si>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</si>
  <si>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</si>
  <si>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</si>
  <si>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</si>
  <si>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</si>
  <si>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</si>
  <si>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</si>
  <si>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</si>
  <si>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</si>
  <si>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</si>
  <si>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</si>
  <si>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</si>
  <si>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</si>
  <si>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</si>
  <si>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</si>
  <si>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</si>
  <si>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</si>
  <si>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</si>
  <si>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</si>
  <si>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</si>
  <si>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</si>
  <si>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</si>
  <si>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</si>
  <si>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</si>
  <si>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</si>
  <si>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</si>
  <si>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</si>
  <si>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</si>
  <si>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</si>
  <si>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</si>
  <si>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</si>
  <si>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</si>
  <si>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</si>
  <si>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</si>
  <si>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</si>
  <si>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</si>
  <si>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</si>
  <si>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</si>
  <si>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</si>
  <si>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</si>
  <si>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</si>
  <si>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</si>
  <si>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</si>
  <si>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</si>
  <si>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</si>
  <si>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</si>
  <si>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</si>
  <si>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</si>
  <si>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</si>
  <si>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</si>
  <si>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</si>
  <si>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</si>
  <si>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</si>
  <si>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</si>
  <si>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</si>
  <si>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</si>
  <si>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</si>
  <si>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</si>
  <si>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</si>
  <si>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</si>
  <si>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</si>
  <si>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</si>
  <si>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</si>
  <si>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</si>
  <si>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</si>
  <si>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</si>
  <si>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</si>
  <si>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</si>
  <si>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</si>
  <si>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</si>
  <si>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</si>
  <si>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</si>
  <si>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</si>
  <si>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</si>
  <si>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</si>
  <si>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</si>
  <si>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</si>
  <si>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</si>
  <si>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</si>
  <si>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</si>
  <si>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</si>
  <si>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</si>
  <si>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</si>
  <si>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</si>
  <si>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</si>
  <si>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</si>
  <si>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</si>
  <si>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</si>
  <si>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</si>
  <si>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</si>
  <si>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</si>
  <si>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</si>
  <si>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</si>
  <si>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</si>
  <si>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</si>
  <si>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</si>
  <si>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</si>
  <si>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</si>
  <si>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</si>
  <si>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</si>
  <si>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</si>
  <si>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</si>
  <si>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</si>
  <si>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</si>
  <si>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</si>
  <si>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</si>
  <si>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</si>
  <si>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</si>
  <si>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</si>
  <si>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</si>
  <si>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</si>
  <si>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</si>
  <si>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</si>
  <si>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</si>
  <si>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</si>
  <si>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</si>
  <si>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</si>
  <si>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</si>
  <si>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</si>
  <si>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</si>
  <si>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</si>
  <si>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</si>
  <si>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</si>
  <si>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</si>
  <si>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</si>
  <si>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</si>
  <si>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</si>
  <si>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</si>
  <si>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</si>
  <si>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</si>
  <si>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</si>
  <si>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</si>
  <si>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</si>
  <si>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</si>
  <si>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</si>
  <si>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</si>
  <si>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</si>
  <si>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</si>
  <si>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</si>
  <si>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</si>
  <si>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</si>
  <si>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</si>
  <si>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</si>
  <si>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</si>
  <si>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</si>
  <si>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</si>
  <si>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</si>
  <si>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</si>
  <si>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</si>
  <si>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</si>
  <si>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</si>
  <si>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</si>
  <si>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</si>
  <si>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</si>
  <si>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</si>
  <si>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</si>
  <si>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</si>
  <si>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</si>
  <si>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</si>
  <si>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</si>
  <si>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</si>
  <si>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</si>
  <si>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</si>
  <si>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</si>
  <si>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</si>
  <si>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</si>
  <si>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</si>
  <si>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</si>
  <si>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</si>
  <si>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</si>
  <si>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</si>
  <si>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</si>
  <si>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</si>
  <si>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</si>
  <si>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</si>
  <si>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</si>
  <si>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</si>
  <si>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</si>
  <si>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</si>
  <si>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</si>
  <si>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</si>
  <si>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</si>
  <si>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</si>
  <si>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</si>
  <si>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</si>
  <si>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</si>
  <si>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</si>
  <si>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</si>
  <si>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</si>
  <si>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</si>
  <si>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</si>
  <si>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</si>
  <si>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</si>
  <si>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</si>
  <si>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</si>
  <si>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</si>
  <si>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</si>
  <si>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</si>
  <si>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</si>
  <si>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</si>
  <si>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</si>
  <si>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</si>
  <si>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</si>
  <si>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</si>
  <si>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</si>
  <si>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</si>
  <si>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</si>
  <si>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</si>
  <si>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</si>
  <si>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</si>
  <si>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</si>
  <si>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</si>
  <si>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</si>
  <si>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</si>
  <si>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</si>
  <si>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</si>
  <si>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</si>
  <si>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</si>
  <si>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</si>
  <si>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</si>
  <si>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</si>
  <si>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</si>
  <si>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</si>
  <si>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</si>
  <si>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</si>
  <si>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</si>
  <si>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</si>
  <si>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</si>
  <si>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</si>
  <si>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</si>
  <si>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</si>
  <si>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</si>
  <si>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</si>
  <si>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</si>
  <si>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</si>
  <si>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</si>
  <si>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</si>
  <si>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</si>
  <si>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</si>
  <si>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</si>
  <si>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</si>
  <si>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</si>
  <si>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</si>
  <si>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</si>
  <si>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</si>
  <si>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</si>
  <si>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</si>
  <si>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</si>
  <si>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</si>
  <si>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</si>
  <si>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</si>
  <si>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</si>
  <si>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</si>
  <si>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</si>
  <si>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</si>
  <si>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</si>
  <si>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</si>
  <si>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</si>
  <si>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</si>
  <si>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</si>
  <si>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</si>
  <si>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</si>
  <si>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</si>
  <si>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</si>
  <si>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</si>
  <si>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</si>
  <si>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</si>
  <si>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</si>
  <si>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</si>
  <si>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</si>
  <si>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</si>
  <si>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</si>
  <si>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</si>
  <si>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</si>
  <si>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</si>
  <si>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</si>
  <si>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</si>
  <si>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</si>
  <si>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</si>
  <si>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</si>
  <si>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</si>
  <si>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</si>
  <si>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</si>
  <si>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</si>
  <si>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</si>
  <si>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</si>
  <si>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</si>
  <si>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</si>
  <si>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</si>
  <si>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</si>
  <si>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</si>
  <si>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</si>
  <si>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</si>
  <si>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</si>
  <si>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</si>
  <si>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</si>
  <si>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</si>
  <si>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</si>
  <si>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</si>
  <si>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</si>
  <si>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</si>
  <si>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</si>
  <si>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</si>
  <si>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</si>
  <si>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</si>
  <si>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</si>
  <si>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</si>
  <si>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</si>
  <si>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</si>
  <si>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</si>
  <si>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</si>
  <si>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</si>
  <si>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</si>
  <si>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</si>
  <si>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</si>
  <si>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</si>
  <si>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</si>
  <si>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</si>
  <si>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</si>
  <si>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</si>
  <si>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</si>
  <si>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</si>
  <si>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</si>
  <si>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</si>
  <si>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</si>
  <si>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</si>
  <si>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</si>
  <si>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</si>
  <si>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</si>
  <si>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</si>
  <si>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</si>
  <si>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</si>
  <si>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</si>
  <si>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</si>
  <si>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</si>
  <si>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</si>
  <si>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</si>
  <si>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</si>
  <si>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</si>
  <si>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</si>
  <si>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</si>
  <si>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</si>
  <si>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</si>
  <si>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</si>
  <si>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</si>
  <si>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</si>
  <si>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</si>
  <si>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</si>
  <si>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</si>
  <si>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</si>
  <si>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</si>
  <si>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</si>
  <si>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</si>
  <si>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</si>
  <si>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</si>
  <si>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</si>
  <si>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</si>
  <si>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</si>
  <si>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</si>
  <si>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</si>
  <si>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</si>
  <si>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</si>
  <si>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</si>
  <si>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</si>
  <si>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</si>
  <si>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</si>
  <si>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</si>
  <si>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</si>
  <si>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</si>
  <si>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</si>
  <si>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</si>
  <si>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</si>
  <si>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</si>
  <si>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</si>
  <si>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</si>
  <si>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</si>
  <si>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</si>
  <si>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</si>
  <si>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</si>
  <si>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</si>
  <si>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</si>
  <si>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</si>
  <si>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</si>
  <si>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</si>
  <si>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</si>
  <si>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</si>
  <si>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</si>
  <si>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</si>
  <si>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</si>
  <si>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</si>
  <si>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</si>
  <si>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</si>
  <si>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</si>
  <si>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</si>
  <si>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</si>
  <si>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</si>
  <si>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</si>
  <si>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</si>
  <si>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</si>
  <si>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</si>
  <si>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</si>
  <si>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</si>
  <si>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</si>
  <si>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</si>
  <si>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</si>
  <si>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</si>
  <si>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</si>
  <si>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</si>
  <si>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</si>
  <si>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</si>
  <si>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</si>
  <si>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</si>
  <si>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</si>
  <si>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</si>
  <si>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</si>
  <si>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</si>
  <si>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</si>
  <si>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</si>
  <si>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</si>
  <si>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</si>
  <si>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</si>
  <si>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</si>
  <si>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</si>
  <si>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</si>
  <si>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</si>
  <si>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</si>
  <si>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</si>
  <si>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</si>
  <si>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</si>
  <si>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</si>
  <si>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</si>
  <si>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</si>
  <si>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</si>
  <si>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</si>
  <si>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</si>
  <si>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</si>
  <si>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</si>
  <si>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</si>
  <si>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</si>
  <si>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</si>
  <si>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</si>
  <si>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</si>
  <si>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</si>
  <si>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</si>
  <si>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</si>
  <si>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</si>
  <si>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</si>
  <si>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</si>
  <si>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</si>
  <si>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</si>
  <si>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</si>
  <si>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</si>
  <si>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</si>
  <si>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</si>
  <si>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</si>
  <si>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</si>
  <si>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</si>
  <si>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</si>
  <si>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</si>
  <si>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</si>
  <si>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</si>
  <si>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</si>
  <si>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</si>
  <si>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</si>
  <si>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</si>
  <si>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</si>
  <si>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</si>
  <si>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</si>
  <si>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</si>
  <si>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</si>
  <si>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</si>
  <si>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</si>
  <si>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</si>
  <si>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</si>
  <si>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</si>
  <si>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</si>
  <si>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</si>
  <si>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</si>
  <si>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</si>
  <si>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</si>
  <si>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</si>
  <si>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</si>
  <si>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</si>
  <si>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</si>
  <si>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</si>
  <si>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</si>
  <si>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</si>
  <si>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</si>
  <si>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</si>
  <si>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</si>
  <si>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</si>
  <si>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</si>
  <si>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</si>
  <si>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</si>
  <si>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</si>
  <si>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</si>
  <si>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</si>
  <si>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</si>
  <si>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</si>
  <si>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</si>
  <si>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</si>
  <si>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</si>
  <si>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</si>
  <si>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</si>
  <si>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</si>
  <si>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</si>
  <si>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</si>
  <si>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</si>
  <si>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</si>
  <si>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</si>
  <si>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</si>
  <si>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</si>
  <si>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</si>
  <si>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</si>
  <si>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</si>
  <si>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</si>
  <si>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</si>
  <si>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</si>
  <si>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</si>
  <si>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</si>
  <si>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</si>
  <si>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</si>
  <si>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</si>
  <si>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</si>
  <si>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</si>
  <si>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</si>
  <si>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</si>
  <si>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</si>
  <si>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</si>
  <si>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</si>
  <si>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</si>
  <si>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</si>
  <si>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</si>
  <si>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</si>
  <si>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</si>
  <si>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</si>
  <si>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</si>
  <si>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</si>
  <si>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</si>
  <si>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</si>
  <si>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</si>
  <si>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</si>
  <si>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</si>
  <si>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</si>
  <si>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</si>
  <si>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</si>
  <si>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</si>
  <si>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</si>
  <si>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</si>
  <si>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</si>
  <si>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</si>
  <si>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</si>
  <si>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</si>
  <si>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</si>
  <si>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</si>
  <si>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</si>
  <si>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</si>
  <si>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</si>
  <si>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</si>
  <si>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</si>
  <si>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</si>
  <si>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</si>
  <si>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</si>
  <si>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</si>
  <si>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</si>
  <si>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</si>
  <si>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</si>
  <si>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</si>
  <si>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</si>
  <si>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</si>
  <si>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</si>
  <si>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</si>
  <si>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</si>
  <si>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</si>
  <si>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</si>
  <si>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</si>
  <si>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</si>
  <si>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</si>
  <si>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</si>
  <si>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</si>
  <si>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</si>
  <si>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</si>
  <si>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</si>
  <si>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</si>
  <si>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</si>
  <si>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</si>
  <si>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</si>
  <si>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</si>
  <si>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</si>
  <si>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</si>
  <si>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</si>
  <si>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</si>
  <si>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</si>
  <si>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</si>
  <si>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</si>
  <si>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</si>
  <si>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</si>
  <si>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</si>
  <si>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</si>
  <si>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</si>
  <si>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</si>
  <si>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</si>
  <si>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</si>
  <si>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</si>
  <si>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</si>
  <si>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</si>
  <si>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</si>
  <si>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</si>
  <si>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</si>
  <si>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</si>
  <si>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</si>
  <si>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</si>
  <si>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</si>
  <si>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</si>
  <si>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</si>
  <si>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</si>
  <si>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</si>
  <si>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</si>
  <si>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</si>
  <si>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</si>
  <si>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</si>
  <si>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</si>
  <si>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</si>
  <si>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</si>
  <si>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</si>
  <si>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</si>
  <si>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</si>
  <si>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</si>
  <si>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</si>
  <si>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</si>
  <si>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</si>
  <si>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</si>
  <si>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</si>
  <si>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</si>
  <si>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</si>
  <si>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</si>
  <si>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</si>
  <si>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</si>
  <si>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</si>
  <si>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</si>
  <si>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</si>
  <si>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</si>
  <si>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</si>
  <si>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</si>
  <si>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</si>
  <si>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</si>
  <si>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</si>
  <si>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</si>
  <si>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</si>
  <si>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</si>
  <si>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</si>
  <si>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</si>
  <si>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</si>
  <si>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</si>
  <si>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</si>
  <si>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</si>
  <si>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</si>
  <si>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</si>
  <si>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</si>
  <si>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</si>
  <si>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</si>
  <si>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</si>
  <si>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</si>
  <si>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</si>
  <si>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</si>
  <si>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</si>
  <si>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</si>
  <si>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</si>
  <si>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</si>
  <si>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</si>
  <si>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</si>
  <si>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</si>
  <si>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</si>
  <si>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</si>
  <si>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</si>
  <si>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</si>
  <si>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</si>
  <si>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</si>
  <si>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</si>
  <si>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</si>
  <si>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</si>
  <si>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</si>
  <si>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</si>
  <si>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</si>
  <si>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</si>
  <si>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</si>
  <si>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</si>
  <si>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</si>
  <si>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</si>
  <si>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</si>
  <si>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</si>
  <si>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</si>
  <si>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</si>
  <si>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</si>
  <si>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</si>
  <si>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</si>
  <si>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</si>
  <si>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</si>
  <si>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</si>
  <si>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</si>
  <si>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</si>
  <si>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</si>
  <si>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</si>
  <si>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</si>
  <si>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</si>
  <si>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</si>
  <si>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</si>
  <si>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</si>
  <si>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</si>
  <si>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</si>
  <si>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</si>
  <si>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</si>
  <si>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</si>
  <si>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</si>
  <si>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</si>
  <si>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</si>
  <si>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</si>
  <si>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</si>
  <si>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</si>
  <si>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</si>
  <si>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</si>
  <si>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</si>
  <si>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</si>
  <si>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</si>
  <si>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</si>
  <si>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</si>
  <si>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</si>
  <si>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</si>
  <si>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</si>
  <si>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</si>
  <si>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</si>
  <si>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</si>
  <si>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</si>
  <si>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</si>
  <si>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</si>
  <si>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</si>
  <si>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</si>
  <si>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</si>
  <si>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</si>
  <si>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</si>
  <si>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</si>
  <si>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</si>
  <si>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</si>
  <si>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</si>
  <si>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</si>
  <si>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</si>
  <si>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</si>
  <si>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</si>
  <si>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</si>
  <si>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</si>
  <si>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</si>
  <si>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</si>
  <si>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</si>
  <si>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</si>
  <si>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</si>
  <si>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</si>
  <si>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</si>
  <si>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</si>
  <si>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</si>
  <si>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</si>
  <si>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</si>
  <si>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</si>
  <si>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</si>
  <si>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</si>
  <si>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</si>
  <si>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</si>
  <si>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</si>
  <si>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</si>
  <si>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</si>
  <si>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</si>
  <si>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</si>
  <si>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</si>
  <si>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</si>
  <si>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</si>
  <si>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</si>
  <si>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</si>
  <si>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</si>
  <si>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</si>
  <si>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</si>
  <si>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</si>
  <si>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</si>
  <si>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</si>
  <si>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</si>
  <si>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</si>
  <si>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</si>
  <si>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</si>
  <si>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</si>
  <si>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</si>
  <si>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</si>
  <si>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</si>
  <si>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</si>
  <si>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</si>
  <si>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</si>
  <si>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</si>
  <si>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</si>
  <si>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</si>
  <si>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</si>
  <si>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</si>
  <si>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</si>
  <si>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</si>
  <si>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</si>
  <si>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</si>
  <si>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</si>
  <si>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</si>
  <si>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</si>
  <si>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</si>
  <si>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</si>
  <si>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</si>
  <si>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</si>
  <si>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</si>
  <si>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</si>
  <si>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</si>
  <si>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</si>
  <si>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</si>
  <si>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</si>
  <si>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</si>
  <si>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</si>
  <si>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</si>
  <si>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</si>
  <si>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</si>
  <si>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</si>
  <si>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</si>
  <si>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</si>
  <si>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</si>
  <si>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</si>
  <si>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</si>
  <si>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</si>
  <si>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</si>
  <si>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</si>
  <si>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</si>
  <si>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</si>
  <si>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</si>
  <si>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</si>
  <si>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</si>
  <si>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</si>
  <si>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</si>
  <si>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</si>
  <si>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</si>
  <si>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</si>
  <si>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</si>
  <si>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</si>
  <si>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</si>
  <si>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</si>
  <si>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</si>
  <si>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</si>
  <si>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</si>
  <si>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</si>
  <si>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</si>
  <si>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</si>
  <si>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</si>
  <si>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</si>
  <si>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</si>
  <si>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</si>
  <si>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</si>
  <si>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</si>
  <si>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</si>
  <si>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</si>
  <si>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</si>
  <si>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</si>
  <si>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</si>
  <si>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</si>
  <si>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</si>
  <si>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</si>
  <si>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</si>
  <si>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</si>
  <si>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</si>
  <si>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</si>
  <si>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</si>
  <si>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</si>
  <si>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</si>
  <si>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</si>
  <si>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</si>
  <si>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</si>
  <si>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</si>
  <si>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</si>
  <si>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</si>
  <si>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</si>
  <si>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</si>
  <si>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</si>
  <si>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</si>
  <si>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</si>
  <si>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</si>
  <si>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</si>
  <si>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</si>
  <si>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</si>
  <si>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</si>
  <si>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</si>
  <si>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</si>
  <si>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</si>
  <si>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</si>
  <si>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</si>
  <si>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</si>
  <si>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</si>
  <si>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</si>
  <si>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</si>
  <si>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</si>
  <si>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</si>
  <si>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</si>
  <si>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</si>
  <si>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</si>
  <si>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</si>
  <si>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</si>
  <si>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</si>
  <si>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</si>
  <si>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</si>
  <si>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</si>
  <si>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</si>
  <si>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</si>
  <si>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</si>
  <si>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</si>
  <si>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</si>
  <si>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</si>
  <si>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</si>
  <si>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</si>
  <si>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</si>
  <si>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</si>
  <si>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</si>
  <si>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</si>
  <si>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</si>
  <si>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</si>
  <si>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</si>
  <si>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</si>
  <si>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</si>
  <si>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</si>
  <si>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</si>
  <si>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</si>
  <si>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</si>
  <si>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</si>
  <si>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</si>
  <si>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</si>
  <si>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</si>
  <si>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</si>
  <si>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</si>
  <si>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</si>
  <si>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</si>
  <si>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</si>
  <si>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</si>
  <si>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</si>
  <si>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</si>
  <si>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</si>
  <si>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</si>
  <si>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</si>
  <si>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</si>
  <si>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</si>
  <si>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</si>
  <si>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</si>
  <si>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</si>
  <si>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</si>
  <si>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</si>
  <si>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</si>
  <si>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</si>
  <si>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</si>
  <si>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</si>
  <si>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</si>
  <si>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</si>
  <si>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</si>
  <si>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</si>
  <si>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</si>
  <si>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</si>
  <si>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</si>
  <si>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</si>
  <si>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</si>
  <si>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</si>
  <si>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</si>
  <si>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</si>
  <si>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</si>
  <si>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</si>
  <si>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</si>
  <si>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</si>
  <si>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</si>
  <si>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</si>
  <si>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</si>
  <si>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</si>
  <si>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</si>
  <si>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</si>
  <si>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</si>
  <si>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</si>
  <si>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</si>
  <si>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</si>
  <si>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</si>
  <si>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</si>
  <si>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</si>
  <si>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</si>
  <si>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</si>
  <si>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</si>
  <si>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</si>
  <si>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</si>
  <si>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</si>
  <si>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</si>
  <si>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</si>
  <si>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</si>
  <si>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</si>
  <si>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</si>
  <si>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</si>
  <si>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</si>
  <si>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</si>
  <si>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</si>
  <si>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</si>
  <si>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</si>
  <si>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</si>
  <si>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</si>
  <si>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</si>
  <si>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</si>
  <si>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</si>
  <si>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</si>
  <si>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</si>
  <si>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</si>
  <si>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</si>
  <si>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</si>
  <si>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</si>
  <si>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</si>
  <si>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</si>
  <si>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</si>
  <si>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</si>
  <si>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</si>
  <si>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</si>
  <si>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</si>
  <si>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</si>
  <si>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</si>
  <si>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</si>
  <si>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</si>
  <si>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</si>
  <si>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</si>
  <si>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</si>
  <si>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</si>
  <si>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</si>
  <si>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</si>
  <si>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</si>
  <si>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</si>
  <si>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</si>
  <si>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</si>
  <si>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</si>
  <si>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</si>
  <si>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</si>
  <si>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</si>
  <si>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</si>
  <si>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</si>
  <si>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</si>
  <si>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</si>
  <si>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</si>
  <si>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</si>
  <si>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</si>
  <si>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</si>
  <si>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</si>
  <si>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</si>
  <si>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</si>
  <si>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</si>
  <si>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</si>
  <si>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</si>
  <si>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</si>
  <si>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</si>
  <si>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</si>
  <si>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</si>
  <si>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</si>
  <si>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</si>
  <si>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</si>
  <si>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</si>
  <si>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</si>
  <si>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</si>
  <si>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</si>
  <si>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</si>
  <si>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</si>
  <si>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</si>
  <si>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</si>
  <si>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</si>
  <si>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</si>
  <si>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</si>
  <si>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</si>
  <si>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</si>
  <si>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</si>
  <si>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</si>
  <si>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</si>
  <si>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</si>
  <si>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</si>
  <si>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</si>
  <si>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</si>
  <si>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</si>
  <si>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</si>
  <si>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</si>
  <si>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</si>
  <si>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</si>
  <si>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</si>
  <si>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</si>
  <si>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</si>
  <si>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</si>
  <si>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</si>
  <si>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</si>
  <si>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</si>
  <si>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</si>
  <si>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</si>
  <si>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</si>
  <si>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</si>
  <si>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</si>
  <si>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</si>
  <si>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</si>
  <si>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</si>
  <si>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</si>
  <si>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</si>
  <si>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</si>
  <si>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</si>
  <si>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</si>
  <si>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</si>
  <si>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</si>
  <si>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</si>
  <si>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</si>
  <si>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</si>
  <si>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</si>
  <si>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</si>
  <si>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</si>
  <si>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</si>
  <si>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</si>
  <si>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</si>
  <si>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</si>
  <si>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</si>
  <si>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</si>
  <si>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</si>
  <si>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</si>
  <si>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</si>
  <si>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</si>
  <si>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</si>
  <si>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</si>
  <si>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</si>
  <si>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</si>
  <si>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</si>
  <si>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</si>
  <si>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</si>
  <si>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</si>
  <si>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</si>
  <si>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</si>
  <si>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</si>
  <si>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</si>
  <si>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</si>
  <si>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</si>
  <si>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</si>
  <si>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</si>
  <si>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</si>
  <si>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</si>
  <si>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</si>
  <si>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</si>
  <si>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</si>
  <si>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</si>
  <si>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</si>
  <si>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</si>
  <si>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</si>
  <si>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</si>
  <si>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</si>
  <si>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</si>
  <si>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</si>
  <si>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</si>
  <si>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</si>
  <si>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</si>
  <si>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</si>
  <si>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</si>
  <si>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</si>
  <si>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</si>
  <si>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</si>
  <si>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</si>
  <si>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</si>
  <si>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</si>
  <si>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</si>
  <si>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</si>
  <si>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</si>
  <si>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</si>
  <si>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</si>
  <si>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</si>
  <si>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</si>
  <si>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</si>
  <si>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</si>
  <si>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</si>
  <si>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</si>
  <si>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</si>
  <si>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</si>
  <si>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</si>
  <si>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</si>
  <si>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</si>
  <si>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</si>
  <si>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</si>
  <si>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</si>
  <si>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</si>
  <si>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</si>
  <si>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</si>
  <si>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</si>
  <si>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</si>
  <si>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</si>
  <si>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</si>
  <si>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</si>
  <si>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</si>
  <si>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</si>
  <si>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</si>
  <si>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</si>
  <si>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</si>
  <si>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</si>
  <si>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</si>
  <si>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</si>
  <si>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</si>
  <si>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</si>
  <si>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</si>
  <si>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</si>
  <si>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</si>
  <si>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</si>
  <si>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</si>
  <si>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</si>
  <si>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</si>
  <si>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</si>
  <si>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</si>
  <si>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</si>
  <si>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</si>
  <si>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</si>
  <si>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</si>
  <si>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</si>
  <si>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</si>
  <si>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</si>
  <si>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</si>
  <si>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</si>
  <si>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</si>
  <si>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</si>
  <si>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</si>
  <si>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</si>
  <si>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</si>
  <si>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</si>
  <si>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</si>
  <si>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</si>
  <si>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</si>
  <si>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</si>
  <si>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</si>
  <si>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</si>
  <si>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</si>
  <si>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</si>
  <si>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</si>
  <si>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</si>
  <si>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</si>
  <si>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</si>
  <si>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</si>
  <si>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</si>
  <si>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</si>
  <si>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</si>
  <si>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</si>
  <si>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</si>
  <si>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</si>
  <si>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</si>
  <si>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</si>
  <si>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</si>
  <si>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</si>
  <si>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</si>
  <si>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</si>
  <si>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</si>
  <si>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</si>
  <si>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</si>
  <si>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</si>
  <si>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</si>
  <si>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</si>
  <si>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</si>
  <si>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</si>
  <si>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</si>
  <si>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</si>
  <si>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</si>
  <si>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</si>
  <si>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</si>
  <si>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</si>
  <si>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</si>
  <si>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</si>
  <si>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</si>
  <si>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</si>
  <si>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</si>
  <si>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</si>
  <si>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</si>
  <si>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</si>
  <si>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</si>
  <si>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</si>
  <si>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</si>
  <si>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</si>
  <si>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</si>
  <si>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</si>
  <si>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</si>
  <si>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</si>
  <si>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</si>
  <si>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</si>
  <si>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</si>
  <si>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</si>
  <si>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</si>
  <si>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</si>
  <si>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</si>
  <si>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</si>
  <si>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</si>
  <si>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</si>
  <si>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</si>
  <si>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</si>
  <si>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</si>
  <si>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</si>
  <si>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</si>
  <si>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</si>
  <si>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</si>
  <si>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</si>
  <si>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</si>
  <si>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</si>
  <si>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</si>
  <si>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</si>
  <si>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</si>
  <si>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</si>
  <si>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</si>
  <si>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</si>
  <si>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</si>
  <si>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</si>
  <si>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</si>
  <si>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</si>
  <si>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</si>
  <si>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</si>
  <si>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</si>
  <si>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</si>
  <si>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</si>
  <si>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</si>
  <si>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</si>
  <si>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</si>
  <si>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</si>
  <si>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</si>
  <si>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</si>
  <si>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</si>
  <si>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</si>
  <si>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</si>
  <si>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</si>
  <si>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</si>
  <si>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</si>
  <si>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</si>
  <si>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</si>
  <si>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</si>
  <si>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</si>
  <si>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</si>
  <si>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</si>
  <si>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</si>
  <si>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</si>
  <si>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</si>
  <si>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</si>
  <si>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</si>
  <si>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</si>
  <si>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</si>
  <si>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</si>
  <si>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</si>
  <si>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</si>
  <si>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</si>
  <si>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</si>
  <si>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</si>
  <si>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</si>
  <si>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</si>
  <si>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</si>
  <si>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</si>
  <si>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</si>
  <si>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</si>
  <si>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</si>
  <si>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</si>
  <si>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</si>
  <si>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</si>
  <si>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</si>
  <si>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</si>
  <si>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</si>
  <si>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</si>
  <si>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</si>
  <si>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</si>
  <si>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</si>
  <si>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</si>
  <si>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</si>
  <si>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</si>
  <si>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</si>
  <si>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</si>
  <si>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</si>
  <si>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</si>
  <si>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</si>
  <si>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</si>
  <si>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</si>
  <si>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</si>
  <si>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</si>
  <si>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</si>
  <si>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</si>
  <si>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</si>
  <si>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</si>
  <si>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</si>
  <si>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</si>
  <si>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</si>
  <si>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</si>
  <si>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</si>
  <si>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</si>
  <si>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</si>
  <si>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</si>
  <si>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</si>
  <si>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</si>
  <si>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</si>
  <si>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</si>
  <si>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</si>
  <si>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</si>
  <si>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</si>
  <si>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</si>
  <si>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</si>
  <si>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</si>
  <si>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</si>
  <si>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</si>
  <si>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</si>
  <si>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</si>
  <si>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</si>
  <si>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</si>
  <si>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</si>
  <si>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</si>
  <si>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</si>
  <si>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</si>
  <si>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</si>
  <si>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</si>
  <si>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</si>
  <si>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</si>
  <si>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</si>
  <si>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</si>
  <si>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</si>
  <si>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</si>
  <si>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</si>
  <si>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</si>
  <si>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</si>
  <si>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</si>
  <si>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</si>
  <si>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</si>
  <si>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</si>
  <si>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</si>
  <si>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</si>
  <si>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</si>
  <si>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</si>
  <si>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</si>
  <si>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</si>
  <si>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</si>
  <si>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</si>
  <si>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</si>
  <si>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</si>
  <si>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</si>
  <si>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</si>
  <si>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</si>
  <si>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</si>
  <si>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</si>
  <si>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</si>
  <si>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</si>
  <si>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</si>
  <si>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</si>
  <si>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</si>
  <si>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</si>
  <si>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</si>
  <si>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</si>
  <si>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</si>
  <si>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</si>
  <si>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</si>
  <si>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</si>
  <si>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</si>
  <si>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</si>
  <si>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</si>
  <si>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</si>
  <si>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</si>
  <si>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</si>
  <si>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</si>
  <si>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</si>
  <si>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</si>
  <si>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</si>
  <si>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</si>
  <si>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</si>
  <si>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</si>
  <si>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</si>
  <si>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</si>
  <si>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</si>
  <si>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</si>
  <si>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</si>
  <si>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</si>
  <si>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</si>
  <si>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</si>
  <si>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</si>
  <si>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</si>
  <si>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</si>
  <si>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</si>
  <si>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</si>
  <si>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</si>
  <si>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</si>
  <si>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</si>
  <si>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</si>
  <si>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</si>
  <si>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</si>
  <si>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</si>
  <si>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</si>
  <si>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</si>
  <si>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</si>
  <si>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</si>
  <si>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</si>
  <si>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</si>
  <si>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</si>
  <si>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</si>
  <si>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</si>
  <si>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</si>
  <si>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</si>
  <si>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</si>
  <si>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</si>
  <si>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</si>
  <si>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</si>
  <si>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</si>
  <si>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</si>
  <si>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</si>
  <si>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</si>
  <si>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</si>
  <si>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</si>
  <si>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</si>
  <si>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</si>
  <si>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</si>
  <si>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</si>
  <si>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</si>
  <si>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</si>
  <si>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</si>
  <si>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</si>
  <si>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</si>
  <si>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</si>
  <si>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</si>
  <si>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</si>
  <si>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</si>
  <si>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</si>
  <si>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</si>
  <si>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</si>
  <si>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</si>
  <si>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</si>
  <si>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</si>
  <si>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</si>
  <si>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</si>
  <si>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</si>
  <si>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</si>
  <si>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</si>
  <si>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</si>
  <si>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</si>
  <si>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</si>
  <si>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</si>
  <si>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</si>
  <si>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</si>
  <si>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</si>
  <si>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</si>
  <si>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</si>
  <si>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</si>
  <si>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</si>
  <si>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</si>
  <si>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</si>
  <si>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</si>
  <si>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</si>
  <si>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</si>
  <si>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</si>
  <si>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</si>
  <si>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</si>
  <si>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</si>
  <si>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</si>
  <si>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</si>
  <si>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</si>
  <si>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</si>
  <si>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</si>
  <si>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</si>
  <si>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</si>
  <si>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</si>
  <si>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</si>
  <si>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</si>
  <si>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</si>
  <si>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</si>
  <si>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</si>
  <si>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</si>
  <si>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</si>
  <si>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</si>
  <si>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</si>
  <si>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</si>
  <si>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</si>
  <si>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</si>
  <si>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</si>
  <si>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</si>
  <si>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</si>
  <si>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</si>
  <si>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</si>
  <si>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</si>
  <si>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</si>
  <si>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</si>
  <si>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</si>
  <si>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</si>
  <si>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</si>
  <si>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</si>
  <si>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</si>
  <si>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</si>
  <si>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</si>
  <si>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</si>
  <si>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</si>
  <si>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</si>
  <si>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</si>
  <si>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</si>
  <si>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</si>
  <si>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</si>
  <si>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</si>
  <si>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</si>
  <si>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</si>
  <si>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</si>
  <si>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</si>
  <si>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</si>
  <si>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</si>
  <si>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</si>
  <si>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</si>
  <si>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</si>
  <si>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</si>
  <si>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</si>
  <si>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</si>
  <si>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</si>
  <si>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</si>
  <si>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</si>
  <si>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</si>
  <si>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</si>
  <si>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</si>
  <si>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</si>
  <si>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</si>
  <si>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</si>
  <si>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</si>
  <si>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</si>
  <si>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</si>
  <si>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</si>
  <si>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</si>
  <si>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</si>
  <si>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</si>
  <si>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</si>
  <si>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</si>
  <si>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</si>
  <si>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</si>
  <si>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</si>
  <si>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</si>
  <si>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</si>
  <si>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</si>
  <si>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</si>
  <si>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</si>
  <si>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</si>
  <si>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</si>
  <si>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</si>
  <si>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</si>
  <si>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</si>
  <si>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</si>
  <si>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</si>
  <si>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</si>
  <si>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</si>
  <si>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</si>
  <si>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</si>
  <si>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</si>
  <si>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</si>
  <si>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</si>
  <si>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</si>
  <si>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</si>
  <si>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</si>
  <si>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</si>
  <si>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</si>
  <si>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</si>
  <si>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</si>
  <si>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</si>
  <si>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</si>
  <si>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</si>
  <si>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</si>
  <si>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</si>
  <si>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</si>
  <si>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</si>
  <si>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</si>
  <si>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</si>
  <si>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</si>
  <si>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</si>
  <si>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</si>
  <si>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</si>
  <si>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</si>
  <si>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</si>
  <si>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</si>
  <si>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</si>
  <si>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</si>
  <si>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</si>
  <si>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</si>
  <si>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</si>
  <si>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</si>
  <si>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</si>
  <si>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</si>
  <si>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</si>
  <si>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</si>
  <si>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</si>
  <si>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</si>
  <si>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</si>
  <si>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</si>
  <si>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</si>
  <si>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</si>
  <si>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</si>
  <si>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</si>
  <si>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</si>
  <si>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</si>
  <si>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</si>
  <si>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</si>
  <si>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</si>
  <si>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</si>
  <si>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</si>
  <si>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</si>
  <si>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</si>
  <si>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</si>
  <si>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</si>
  <si>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</si>
  <si>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</si>
  <si>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</si>
  <si>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</si>
  <si>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</si>
  <si>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</si>
  <si>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</si>
  <si>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</si>
  <si>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</si>
  <si>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</si>
  <si>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</si>
  <si>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</si>
  <si>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</si>
  <si>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</si>
  <si>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</si>
  <si>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</si>
  <si>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</si>
  <si>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</si>
  <si>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</si>
  <si>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</si>
  <si>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</si>
  <si>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</si>
  <si>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</si>
  <si>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</si>
  <si>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</si>
  <si>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</si>
  <si>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</si>
  <si>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</si>
  <si>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</si>
  <si>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</si>
  <si>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</si>
  <si>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</si>
  <si>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</si>
  <si>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</si>
  <si>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</si>
  <si>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</si>
  <si>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</si>
  <si>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</si>
  <si>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</si>
  <si>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</si>
  <si>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</si>
  <si>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</si>
  <si>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</si>
  <si>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</si>
  <si>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</si>
  <si>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</si>
  <si>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</si>
  <si>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</si>
  <si>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</si>
  <si>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</si>
  <si>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</si>
  <si>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</si>
  <si>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</si>
  <si>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</si>
  <si>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</si>
  <si>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</si>
  <si>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</si>
  <si>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</si>
  <si>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</si>
  <si>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</si>
  <si>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</si>
  <si>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</si>
  <si>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</si>
  <si>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</si>
  <si>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</si>
  <si>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</si>
  <si>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</si>
  <si>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</si>
  <si>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</si>
  <si>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</si>
  <si>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</si>
  <si>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</si>
  <si>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</si>
  <si>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</si>
  <si>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</si>
  <si>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</si>
  <si>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</si>
  <si>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</si>
  <si>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</si>
  <si>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</si>
  <si>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</si>
  <si>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</si>
  <si>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</si>
  <si>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</si>
  <si>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</si>
  <si>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</si>
  <si>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</si>
  <si>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</si>
  <si>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</si>
  <si>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</si>
  <si>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</si>
  <si>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</si>
  <si>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</si>
  <si>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</si>
  <si>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</si>
  <si>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</si>
  <si>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</si>
  <si>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</si>
  <si>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</si>
  <si>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</si>
  <si>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</si>
  <si>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</si>
  <si>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</si>
  <si>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</si>
  <si>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</si>
  <si>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</si>
  <si>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</si>
  <si>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</si>
  <si>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</si>
  <si>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</si>
  <si>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</si>
  <si>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</si>
  <si>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</si>
  <si>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</si>
  <si>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</si>
  <si>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</si>
  <si>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</si>
  <si>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</si>
  <si>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</si>
  <si>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</si>
  <si>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</si>
  <si>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</si>
  <si>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</si>
  <si>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</si>
  <si>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</si>
  <si>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</si>
  <si>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</si>
  <si>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</si>
  <si>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</si>
  <si>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</si>
  <si>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</si>
  <si>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</si>
  <si>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</si>
  <si>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</si>
  <si>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</si>
  <si>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</si>
  <si>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</si>
  <si>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</si>
  <si>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</si>
  <si>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</si>
  <si>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</si>
  <si>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</si>
  <si>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</si>
  <si>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</si>
  <si>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</si>
  <si>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</si>
  <si>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</si>
  <si>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</si>
  <si>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</si>
  <si>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</si>
  <si>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</si>
  <si>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</si>
  <si>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</si>
  <si>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</si>
  <si>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</si>
  <si>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</si>
  <si>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</si>
  <si>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</si>
  <si>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</si>
  <si>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</si>
  <si>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</si>
  <si>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</si>
  <si>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</si>
  <si>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</si>
  <si>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</si>
  <si>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</si>
  <si>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</si>
  <si>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</si>
  <si>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</si>
  <si>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</si>
  <si>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</si>
  <si>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</si>
  <si>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</si>
  <si>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</si>
  <si>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</si>
  <si>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</si>
  <si>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</si>
  <si>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</si>
  <si>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</si>
  <si>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</si>
  <si>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</si>
  <si>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</si>
  <si>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</si>
  <si>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</si>
  <si>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</si>
  <si>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</si>
  <si>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</si>
  <si>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</si>
  <si>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</si>
  <si>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</si>
  <si>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</si>
  <si>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</si>
  <si>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</si>
  <si>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</si>
  <si>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</si>
  <si>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</si>
  <si>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</si>
  <si>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</si>
  <si>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</si>
  <si>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</si>
  <si>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</si>
  <si>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</si>
  <si>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</si>
  <si>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</si>
  <si>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</si>
  <si>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</si>
  <si>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</si>
  <si>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</si>
  <si>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</si>
  <si>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</si>
  <si>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</si>
  <si>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</si>
  <si>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</si>
  <si>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</si>
  <si>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</si>
  <si>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</si>
  <si>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</si>
  <si>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</si>
  <si>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</si>
  <si>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</si>
  <si>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</si>
  <si>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</si>
  <si>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</si>
  <si>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</si>
  <si>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</si>
  <si>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</si>
  <si>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</si>
  <si>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</si>
  <si>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</si>
  <si>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</si>
  <si>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</si>
  <si>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</si>
  <si>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</si>
  <si>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</si>
  <si>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</si>
  <si>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</si>
  <si>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</si>
  <si>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</si>
  <si>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</si>
  <si>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</si>
  <si>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</si>
  <si>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</si>
  <si>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</si>
  <si>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</si>
  <si>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</si>
  <si>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</si>
  <si>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</si>
  <si>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</si>
  <si>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</si>
  <si>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</si>
  <si>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</si>
  <si>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</si>
  <si>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</si>
  <si>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</si>
  <si>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</si>
  <si>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</si>
  <si>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</si>
  <si>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</si>
  <si>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</si>
  <si>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</si>
  <si>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</si>
  <si>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</si>
  <si>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</si>
  <si>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</si>
  <si>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</si>
  <si>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</si>
  <si>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</si>
  <si>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</si>
  <si>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</si>
  <si>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</si>
  <si>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</si>
  <si>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</si>
  <si>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</si>
  <si>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</si>
  <si>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</si>
  <si>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</si>
  <si>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</si>
  <si>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</si>
  <si>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</si>
  <si>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</si>
  <si>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</si>
  <si>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</si>
  <si>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</si>
  <si>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</si>
  <si>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</si>
  <si>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</si>
  <si>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</si>
  <si>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</si>
  <si>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</si>
  <si>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</si>
  <si>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</si>
  <si>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</si>
  <si>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</si>
  <si>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</si>
  <si>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</si>
  <si>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</si>
  <si>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</si>
  <si>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</si>
  <si>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</si>
  <si>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</si>
  <si>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</si>
  <si>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</si>
  <si>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</si>
  <si>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</si>
  <si>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</si>
  <si>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</si>
  <si>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</si>
  <si>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</si>
  <si>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</si>
  <si>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</si>
  <si>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</si>
  <si>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</si>
  <si>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</si>
  <si>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</si>
  <si>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</si>
  <si>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</si>
  <si>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</si>
  <si>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</si>
  <si>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</si>
  <si>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</si>
  <si>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</si>
  <si>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</si>
  <si>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</si>
  <si>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</si>
  <si>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</si>
  <si>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</si>
  <si>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</si>
  <si>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</si>
  <si>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</si>
  <si>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</si>
  <si>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</si>
  <si>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</si>
  <si>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</si>
  <si>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</si>
  <si>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</si>
  <si>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</si>
  <si>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</si>
  <si>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</si>
  <si>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</si>
  <si>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</si>
  <si>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</si>
  <si>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</si>
  <si>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</si>
  <si>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</si>
  <si>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</si>
  <si>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</si>
  <si>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</si>
  <si>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</si>
  <si>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</si>
  <si>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</si>
  <si>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</si>
  <si>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</si>
  <si>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</si>
  <si>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</si>
  <si>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</si>
  <si>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</si>
  <si>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</si>
  <si>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</si>
  <si>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</si>
  <si>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</si>
  <si>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</si>
  <si>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</si>
  <si>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</si>
  <si>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</si>
  <si>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</si>
  <si>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</si>
  <si>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</si>
  <si>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</si>
  <si>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</si>
  <si>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</si>
  <si>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</si>
  <si>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</si>
  <si>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</si>
  <si>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</si>
  <si>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</si>
  <si>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</si>
  <si>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</si>
  <si>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</si>
  <si>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</si>
  <si>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</si>
  <si>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</si>
  <si>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</si>
  <si>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</si>
  <si>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</si>
  <si>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</si>
  <si>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</si>
  <si>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</si>
  <si>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</si>
  <si>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</si>
  <si>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</si>
  <si>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</si>
  <si>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</si>
  <si>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</si>
  <si>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</si>
  <si>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</si>
  <si>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</si>
  <si>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</si>
  <si>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</si>
  <si>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</si>
  <si>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</si>
  <si>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</si>
  <si>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</si>
  <si>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</si>
  <si>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</si>
  <si>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</si>
  <si>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</si>
  <si>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</si>
  <si>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</si>
  <si>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</si>
  <si>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</si>
  <si>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</si>
  <si>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</si>
  <si>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</si>
  <si>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</si>
  <si>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</si>
  <si>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</si>
  <si>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</si>
  <si>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</si>
  <si>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</si>
  <si>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</si>
  <si>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</si>
  <si>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</si>
  <si>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</si>
  <si>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</si>
  <si>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</si>
  <si>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</si>
  <si>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</si>
  <si>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</si>
  <si>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</si>
  <si>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</si>
  <si>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</si>
  <si>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</si>
  <si>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</si>
  <si>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</si>
  <si>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</si>
  <si>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</si>
  <si>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</si>
  <si>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</si>
  <si>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</si>
  <si>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</si>
  <si>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</si>
  <si>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</si>
  <si>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</si>
  <si>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</si>
  <si>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</si>
  <si>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</si>
  <si>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</si>
  <si>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</si>
  <si>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</si>
  <si>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</si>
  <si>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</si>
  <si>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</si>
  <si>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</si>
  <si>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</si>
  <si>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</si>
  <si>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</si>
  <si>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</si>
  <si>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</si>
  <si>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</si>
  <si>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</si>
  <si>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</si>
  <si>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</si>
  <si>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</si>
  <si>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</si>
  <si>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</si>
  <si>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</si>
  <si>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</si>
  <si>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</si>
  <si>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</si>
  <si>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</si>
  <si>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</si>
  <si>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</si>
  <si>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</si>
  <si>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</si>
  <si>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</si>
  <si>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</si>
  <si>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</si>
  <si>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</si>
  <si>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</si>
  <si>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</si>
  <si>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</si>
  <si>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</si>
  <si>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</si>
  <si>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</si>
  <si>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</si>
  <si>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</si>
  <si>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</si>
  <si>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</si>
  <si>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</si>
  <si>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</si>
  <si>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</si>
  <si>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</si>
  <si>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</si>
  <si>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</si>
  <si>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</si>
  <si>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</si>
  <si>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</si>
  <si>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</si>
  <si>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</si>
  <si>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</si>
  <si>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</si>
  <si>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</si>
  <si>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</si>
  <si>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</si>
  <si>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</si>
  <si>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</si>
  <si>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</si>
  <si>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</si>
  <si>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</si>
  <si>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</si>
  <si>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</si>
  <si>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</si>
  <si>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</si>
  <si>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</si>
  <si>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</si>
  <si>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</si>
  <si>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</si>
  <si>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</si>
  <si>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</si>
  <si>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</si>
  <si>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</si>
  <si>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</si>
  <si>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</si>
  <si>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</si>
  <si>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</si>
  <si>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</si>
  <si>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</si>
  <si>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</si>
  <si>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</si>
  <si>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</si>
  <si>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</si>
  <si>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</si>
  <si>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</si>
  <si>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</si>
  <si>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</si>
  <si>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</si>
  <si>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</si>
  <si>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</si>
  <si>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</si>
  <si>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</si>
  <si>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</si>
  <si>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</si>
  <si>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</si>
  <si>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</si>
  <si>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</si>
  <si>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</si>
  <si>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</si>
  <si>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</si>
  <si>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</si>
  <si>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</si>
  <si>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</si>
  <si>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</si>
  <si>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</si>
  <si>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</si>
  <si>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</si>
  <si>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</si>
  <si>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</si>
  <si>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</si>
  <si>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</si>
  <si>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</si>
  <si>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</si>
  <si>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</si>
  <si>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</si>
  <si>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</si>
  <si>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</si>
  <si>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</si>
  <si>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</si>
  <si>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</si>
  <si>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</si>
  <si>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</si>
  <si>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</si>
  <si>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</si>
  <si>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</si>
  <si>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</si>
  <si>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</si>
  <si>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</si>
  <si>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</si>
  <si>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</si>
  <si>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</si>
  <si>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</si>
  <si>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</si>
  <si>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</si>
  <si>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</si>
  <si>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</si>
  <si>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</si>
  <si>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</si>
  <si>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</si>
  <si>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</si>
  <si>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</si>
  <si>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</si>
  <si>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</si>
  <si>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</si>
  <si>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</si>
  <si>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</si>
  <si>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</si>
  <si>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</si>
  <si>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</si>
  <si>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</si>
  <si>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</si>
  <si>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</si>
  <si>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</si>
  <si>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</si>
  <si>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</si>
  <si>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</si>
  <si>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</si>
  <si>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</si>
  <si>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</si>
  <si>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</si>
  <si>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</si>
  <si>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</si>
  <si>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</si>
  <si>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</si>
  <si>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</si>
  <si>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</si>
  <si>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</si>
  <si>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</si>
  <si>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</si>
  <si>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</si>
  <si>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</si>
  <si>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</si>
  <si>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</si>
  <si>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</si>
  <si>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</si>
  <si>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</si>
  <si>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</si>
  <si>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</si>
  <si>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</si>
  <si>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</si>
  <si>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</si>
  <si>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</si>
  <si>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</si>
  <si>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</si>
  <si>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</si>
  <si>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</si>
  <si>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</si>
  <si>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</si>
  <si>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</si>
  <si>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</si>
  <si>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</si>
  <si>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</si>
  <si>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</si>
  <si>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</si>
  <si>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</si>
  <si>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</si>
  <si>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</si>
  <si>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</si>
  <si>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</si>
  <si>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</si>
  <si>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</si>
  <si>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</si>
  <si>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</si>
  <si>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</si>
  <si>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</si>
  <si>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</si>
  <si>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</si>
  <si>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</si>
  <si>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</si>
  <si>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</si>
  <si>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</si>
  <si>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</si>
  <si>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</si>
  <si>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</si>
  <si>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</si>
  <si>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</si>
  <si>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</si>
  <si>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</si>
  <si>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</si>
  <si>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</si>
  <si>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</si>
  <si>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</si>
  <si>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</si>
  <si>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</si>
  <si>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</si>
  <si>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</si>
  <si>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</si>
  <si>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</si>
  <si>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</si>
  <si>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</si>
  <si>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</si>
  <si>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</si>
  <si>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</si>
  <si>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</si>
  <si>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</si>
  <si>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</si>
  <si>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</si>
  <si>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</si>
  <si>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</si>
  <si>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</si>
  <si>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</si>
  <si>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</si>
  <si>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</si>
  <si>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</si>
  <si>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</si>
  <si>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</si>
  <si>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</si>
  <si>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</si>
  <si>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</si>
  <si>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</si>
  <si>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</si>
  <si>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</si>
  <si>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</si>
  <si>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</si>
  <si>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</si>
  <si>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</si>
  <si>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</si>
  <si>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</si>
  <si>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</si>
  <si>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</si>
  <si>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</si>
  <si>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</si>
  <si>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</si>
  <si>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</si>
  <si>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</si>
  <si>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</si>
  <si>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</si>
  <si>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</si>
  <si>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</si>
  <si>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</si>
  <si>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</si>
  <si>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</si>
  <si>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</si>
  <si>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</si>
  <si>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</si>
  <si>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</si>
  <si>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</si>
  <si>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</si>
  <si>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</si>
  <si>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</si>
  <si>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</si>
  <si>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</si>
  <si>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</si>
  <si>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</si>
  <si>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</si>
  <si>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</si>
  <si>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</si>
  <si>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</si>
  <si>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</si>
  <si>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</si>
  <si>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</si>
  <si>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</si>
  <si>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</si>
  <si>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</si>
  <si>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</si>
  <si>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</si>
  <si>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</si>
  <si>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</si>
  <si>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</si>
  <si>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</si>
  <si>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</si>
  <si>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</si>
  <si>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</si>
  <si>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</si>
  <si>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</si>
  <si>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</si>
  <si>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</si>
  <si>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</si>
  <si>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</si>
  <si>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</si>
  <si>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</si>
  <si>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</si>
  <si>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</si>
  <si>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</si>
  <si>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</si>
  <si>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</si>
  <si>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</si>
  <si>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</si>
  <si>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</si>
  <si>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</si>
  <si>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</si>
  <si>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</si>
  <si>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</si>
  <si>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</si>
  <si>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</si>
  <si>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</si>
  <si>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</si>
  <si>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</si>
  <si>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</si>
  <si>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</si>
  <si>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</si>
  <si>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</si>
  <si>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</si>
  <si>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</si>
  <si>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</si>
  <si>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</si>
  <si>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</si>
  <si>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</si>
  <si>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</si>
  <si>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</si>
  <si>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</si>
  <si>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</si>
  <si>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</si>
  <si>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</si>
  <si>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</si>
  <si>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</si>
  <si>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</si>
  <si>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</si>
  <si>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</si>
  <si>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</si>
  <si>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</si>
  <si>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</si>
  <si>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</si>
  <si>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</si>
  <si>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</si>
  <si>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</si>
  <si>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</si>
  <si>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</si>
  <si>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</si>
  <si>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</si>
  <si>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</si>
  <si>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</si>
  <si>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</si>
  <si>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</si>
  <si>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</si>
  <si>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</si>
  <si>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</si>
  <si>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</si>
  <si>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</si>
  <si>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</si>
  <si>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</si>
  <si>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</si>
  <si>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</si>
  <si>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</si>
  <si>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</si>
  <si>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</si>
  <si>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</si>
  <si>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</si>
  <si>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</si>
  <si>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</si>
  <si>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</si>
  <si>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</si>
  <si>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</si>
  <si>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</si>
  <si>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</si>
  <si>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</si>
  <si>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</si>
  <si>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</si>
  <si>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</si>
  <si>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</si>
  <si>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</si>
  <si>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</si>
  <si>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</si>
  <si>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</si>
  <si>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</si>
  <si>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</si>
  <si>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</si>
  <si>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</si>
  <si>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</si>
  <si>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</si>
  <si>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</si>
  <si>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</si>
  <si>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</si>
  <si>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</si>
  <si>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</si>
  <si>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</si>
  <si>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</si>
  <si>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</si>
  <si>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</si>
  <si>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</si>
  <si>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</si>
  <si>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</si>
  <si>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</si>
  <si>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</si>
  <si>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</si>
  <si>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</si>
  <si>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</si>
  <si>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</si>
  <si>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</si>
  <si>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</si>
  <si>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</si>
  <si>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</si>
  <si>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</si>
  <si>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</si>
  <si>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</si>
  <si>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</si>
  <si>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</si>
  <si>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</si>
  <si>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</si>
  <si>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</si>
  <si>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</si>
  <si>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</si>
  <si>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</si>
  <si>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</si>
  <si>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</si>
  <si>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</si>
  <si>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</si>
  <si>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</si>
  <si>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</si>
  <si>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</si>
  <si>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</si>
  <si>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</si>
  <si>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</si>
  <si>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</si>
  <si>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</si>
  <si>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</si>
  <si>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</si>
  <si>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</si>
  <si>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</si>
  <si>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</si>
  <si>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</si>
  <si>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</si>
  <si>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</si>
  <si>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</si>
  <si>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</si>
  <si>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</si>
  <si>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</si>
  <si>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</si>
  <si>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</si>
  <si>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</si>
  <si>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</si>
  <si>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</si>
  <si>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</si>
  <si>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</si>
  <si>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</si>
  <si>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</si>
  <si>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</si>
  <si>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</si>
  <si>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</si>
  <si>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</si>
  <si>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</si>
  <si>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</si>
  <si>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</si>
  <si>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</si>
  <si>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</si>
  <si>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</si>
  <si>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</si>
  <si>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</si>
  <si>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</si>
  <si>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</si>
  <si>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</si>
  <si>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</si>
  <si>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</si>
  <si>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</si>
  <si>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</si>
  <si>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</si>
  <si>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</si>
  <si>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</si>
  <si>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</si>
  <si>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</si>
  <si>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</si>
  <si>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</si>
  <si>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</si>
  <si>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</si>
  <si>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</si>
  <si>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</si>
  <si>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</si>
  <si>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</si>
  <si>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</si>
  <si>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</si>
  <si>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</si>
  <si>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</si>
  <si>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</si>
  <si>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</si>
  <si>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</si>
  <si>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</si>
  <si>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</si>
  <si>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</si>
  <si>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</si>
  <si>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</si>
  <si>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</si>
  <si>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</si>
  <si>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</si>
  <si>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</si>
  <si>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</si>
  <si>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</si>
  <si>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</si>
  <si>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</si>
  <si>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</si>
  <si>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</si>
  <si>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</si>
  <si>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</si>
  <si>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</si>
  <si>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</si>
  <si>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</si>
  <si>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</si>
  <si>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</si>
  <si>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</si>
  <si>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</si>
  <si>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</si>
  <si>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</si>
  <si>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</si>
  <si>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</si>
  <si>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</si>
  <si>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</si>
  <si>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</si>
  <si>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</si>
  <si>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</si>
  <si>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</si>
  <si>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</si>
  <si>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</si>
  <si>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</si>
  <si>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</si>
  <si>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</si>
  <si>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</si>
  <si>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</si>
  <si>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</si>
  <si>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</si>
  <si>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</si>
  <si>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</si>
  <si>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</si>
  <si>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</si>
  <si>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</si>
  <si>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</si>
  <si>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</si>
  <si>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</si>
  <si>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</si>
  <si>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</si>
  <si>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</si>
  <si>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</si>
  <si>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</si>
  <si>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</si>
  <si>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</si>
  <si>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</si>
  <si>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</si>
  <si>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</si>
  <si>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</si>
  <si>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</si>
  <si>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</si>
  <si>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</si>
  <si>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</si>
  <si>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</si>
  <si>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</si>
  <si>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</si>
  <si>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</si>
  <si>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</si>
  <si>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</si>
  <si>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</si>
  <si>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</si>
  <si>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</si>
  <si>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</si>
  <si>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</si>
  <si>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</si>
  <si>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</si>
  <si>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</si>
  <si>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</si>
  <si>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</si>
  <si>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</si>
  <si>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</si>
  <si>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</si>
  <si>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</si>
  <si>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</si>
  <si>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</si>
  <si>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</si>
  <si>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</si>
  <si>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</si>
  <si>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</si>
  <si>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</si>
  <si>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</si>
  <si>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</si>
  <si>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</si>
  <si>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</si>
  <si>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</si>
  <si>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</si>
  <si>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</si>
  <si>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</si>
  <si>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</si>
  <si>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</si>
  <si>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</si>
  <si>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</si>
  <si>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</si>
  <si>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</si>
  <si>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</si>
  <si>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</si>
  <si>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</si>
  <si>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</si>
  <si>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</si>
  <si>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</si>
  <si>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</si>
  <si>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</si>
  <si>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</si>
  <si>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</si>
  <si>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</si>
  <si>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</si>
  <si>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</si>
  <si>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</si>
  <si>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</si>
  <si>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</si>
  <si>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</si>
  <si>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</si>
  <si>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</si>
  <si>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</si>
  <si>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</si>
  <si>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</si>
  <si>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</si>
  <si>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</si>
  <si>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</si>
  <si>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</si>
  <si>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</si>
  <si>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</si>
  <si>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</si>
  <si>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</si>
  <si>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</si>
  <si>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</si>
  <si>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</si>
  <si>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</si>
  <si>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</si>
  <si>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</si>
  <si>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</si>
  <si>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</si>
  <si>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</si>
  <si>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</si>
  <si>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</si>
  <si>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</si>
  <si>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</si>
  <si>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</si>
  <si>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</si>
  <si>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</si>
  <si>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</si>
  <si>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</si>
  <si>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</si>
  <si>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</si>
  <si>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</si>
  <si>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</si>
  <si>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</si>
  <si>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</si>
  <si>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</si>
  <si>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</si>
  <si>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</si>
  <si>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</si>
  <si>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</si>
  <si>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</si>
  <si>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</si>
  <si>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</si>
  <si>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</si>
  <si>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</si>
  <si>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</si>
  <si>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</si>
  <si>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</si>
  <si>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</si>
  <si>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</si>
  <si>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</si>
  <si>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</si>
  <si>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</si>
  <si>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</si>
  <si>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</si>
  <si>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</si>
  <si>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</si>
  <si>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</si>
  <si>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</si>
  <si>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</si>
  <si>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</si>
  <si>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</si>
  <si>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</si>
  <si>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</si>
  <si>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</si>
  <si>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</si>
  <si>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</si>
  <si>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</si>
  <si>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</si>
  <si>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</si>
  <si>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</si>
  <si>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</si>
  <si>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</si>
  <si>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</si>
  <si>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</si>
  <si>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</si>
  <si>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</si>
  <si>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</si>
  <si>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</si>
  <si>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</si>
  <si>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</si>
  <si>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</si>
  <si>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</si>
  <si>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</si>
  <si>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</si>
  <si>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</si>
  <si>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</si>
  <si>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</si>
  <si>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</si>
  <si>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</si>
  <si>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</si>
  <si>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</si>
  <si>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</si>
  <si>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</si>
  <si>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</si>
  <si>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</si>
  <si>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</si>
  <si>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</si>
  <si>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</si>
  <si>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</si>
  <si>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</si>
  <si>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</si>
  <si>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</si>
  <si>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</si>
  <si>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</si>
  <si>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</si>
  <si>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</si>
  <si>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</si>
  <si>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</si>
  <si>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</si>
  <si>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</si>
  <si>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</si>
  <si>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</si>
  <si>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</si>
  <si>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</si>
  <si>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</si>
  <si>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</si>
  <si>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</si>
  <si>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</si>
  <si>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</si>
  <si>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</si>
  <si>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</si>
  <si>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</si>
  <si>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</si>
  <si>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</si>
  <si>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</si>
  <si>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</si>
  <si>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</si>
  <si>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</si>
  <si>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</si>
  <si>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</si>
  <si>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</si>
  <si>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</si>
  <si>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</si>
  <si>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</si>
  <si>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</si>
  <si>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</si>
  <si>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</si>
  <si>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</si>
  <si>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</si>
  <si>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</si>
  <si>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</si>
  <si>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</si>
  <si>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</si>
  <si>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</si>
  <si>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</si>
  <si>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</si>
  <si>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</si>
  <si>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</si>
  <si>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</si>
  <si>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</si>
  <si>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</si>
  <si>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</si>
  <si>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</si>
  <si>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</si>
  <si>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</si>
  <si>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</si>
  <si>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</si>
  <si>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</si>
  <si>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</si>
  <si>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</si>
  <si>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</si>
  <si>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</si>
  <si>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</si>
  <si>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</si>
  <si>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</si>
  <si>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</si>
  <si>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</si>
  <si>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</si>
  <si>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</si>
  <si>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</si>
  <si>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</si>
  <si>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</si>
  <si>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</si>
  <si>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</si>
  <si>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</si>
  <si>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</si>
  <si>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</si>
  <si>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</si>
  <si>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</si>
  <si>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</si>
  <si>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</si>
  <si>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</si>
  <si>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</si>
  <si>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</si>
  <si>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</si>
  <si>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</si>
  <si>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</si>
  <si>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</si>
  <si>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</si>
  <si>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</si>
  <si>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</si>
  <si>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</si>
  <si>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</si>
  <si>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</si>
  <si>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</si>
  <si>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</si>
  <si>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</si>
  <si>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</si>
  <si>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</si>
  <si>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</si>
  <si>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</si>
  <si>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</si>
  <si>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</si>
  <si>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</si>
  <si>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</si>
  <si>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</si>
  <si>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</si>
  <si>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</si>
  <si>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</si>
  <si>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</si>
  <si>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</si>
  <si>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</si>
  <si>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</si>
  <si>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</si>
  <si>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</si>
  <si>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</si>
  <si>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</si>
  <si>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</si>
  <si>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</si>
  <si>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</si>
  <si>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</si>
  <si>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</si>
  <si>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</si>
  <si>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</si>
  <si>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</si>
  <si>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</si>
  <si>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</si>
  <si>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</si>
  <si>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</si>
  <si>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</si>
  <si>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</si>
  <si>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</si>
  <si>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</si>
  <si>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</si>
  <si>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</si>
  <si>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</si>
  <si>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</si>
  <si>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</si>
  <si>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</si>
  <si>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</si>
  <si>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</si>
  <si>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</si>
  <si>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</si>
  <si>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</si>
  <si>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</si>
  <si>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</si>
  <si>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</si>
  <si>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</si>
  <si>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</si>
  <si>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</si>
  <si>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</si>
  <si>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</si>
  <si>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</si>
  <si>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</si>
  <si>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</si>
  <si>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</si>
  <si>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</si>
  <si>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</si>
  <si>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</si>
  <si>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</si>
  <si>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</si>
  <si>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</si>
  <si>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</si>
  <si>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</si>
  <si>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</si>
  <si>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</si>
  <si>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</si>
  <si>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</si>
  <si>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</si>
  <si>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</si>
  <si>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</si>
  <si>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</si>
  <si>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</si>
  <si>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</si>
  <si>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</si>
  <si>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</si>
  <si>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</si>
  <si>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</si>
  <si>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</si>
  <si>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</si>
  <si>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</si>
  <si>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</si>
  <si>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</si>
  <si>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</si>
  <si>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</si>
  <si>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</si>
  <si>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</si>
  <si>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</si>
  <si>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</si>
  <si>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</si>
  <si>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</si>
  <si>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</si>
  <si>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</si>
  <si>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</si>
  <si>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</si>
  <si>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</si>
  <si>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</si>
  <si>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</si>
  <si>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</si>
  <si>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</si>
  <si>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</si>
  <si>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</si>
  <si>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</si>
  <si>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</si>
  <si>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</si>
  <si>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</si>
  <si>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</si>
  <si>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</si>
  <si>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</si>
  <si>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</si>
  <si>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</si>
  <si>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</si>
  <si>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</si>
  <si>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</si>
  <si>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</si>
  <si>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</si>
  <si>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</si>
  <si>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</si>
  <si>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</si>
  <si>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</si>
  <si>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</si>
  <si>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</si>
  <si>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</si>
  <si>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</si>
  <si>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</si>
  <si>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</si>
  <si>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</si>
  <si>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</si>
  <si>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</si>
  <si>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</si>
  <si>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</si>
  <si>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</si>
  <si>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</si>
  <si>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</si>
  <si>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</si>
  <si>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</si>
  <si>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</si>
  <si>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</si>
  <si>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</si>
  <si>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</si>
  <si>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</si>
  <si>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</si>
  <si>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</si>
  <si>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</si>
  <si>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</si>
  <si>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</si>
  <si>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</si>
  <si>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</si>
  <si>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</si>
  <si>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</si>
  <si>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</si>
  <si>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</si>
  <si>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</si>
  <si>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</si>
  <si>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</si>
  <si>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</si>
  <si>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</si>
  <si>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</si>
  <si>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</si>
  <si>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</si>
  <si>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</si>
  <si>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</si>
  <si>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</si>
  <si>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</si>
  <si>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</si>
  <si>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</si>
  <si>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</si>
  <si>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</si>
  <si>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</si>
  <si>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</si>
  <si>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</si>
  <si>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</si>
  <si>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</si>
  <si>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</si>
  <si>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</si>
  <si>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</si>
  <si>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</si>
  <si>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</si>
  <si>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</si>
  <si>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</si>
  <si>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</si>
  <si>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</si>
  <si>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</si>
  <si>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</si>
  <si>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</si>
  <si>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</si>
  <si>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</si>
  <si>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</si>
  <si>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</si>
  <si>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</si>
  <si>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</si>
  <si>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</si>
  <si>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</si>
  <si>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</si>
  <si>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</si>
  <si>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</si>
  <si>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</si>
  <si>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</si>
  <si>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</si>
  <si>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</si>
  <si>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</si>
  <si>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</si>
  <si>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</si>
  <si>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</si>
  <si>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</si>
  <si>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</si>
  <si>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</si>
  <si>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</si>
  <si>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</si>
  <si>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</si>
  <si>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</si>
  <si>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</si>
  <si>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</si>
  <si>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</si>
  <si>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</si>
  <si>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</si>
  <si>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</si>
  <si>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</si>
  <si>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</si>
  <si>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</si>
  <si>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</si>
  <si>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</si>
  <si>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</si>
  <si>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</si>
  <si>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</si>
  <si>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</si>
  <si>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</si>
  <si>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</si>
  <si>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</si>
  <si>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</si>
  <si>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</si>
  <si>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</si>
  <si>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</si>
  <si>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</si>
  <si>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</si>
  <si>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</si>
  <si>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</si>
  <si>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</si>
  <si>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</si>
  <si>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</si>
  <si>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</si>
  <si>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</si>
  <si>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</si>
  <si>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</si>
  <si>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</si>
  <si>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</si>
  <si>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</si>
  <si>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</si>
  <si>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</si>
  <si>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</si>
  <si>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</si>
  <si>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</si>
  <si>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</si>
  <si>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</si>
  <si>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</si>
  <si>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</si>
  <si>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</si>
  <si>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</si>
  <si>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</si>
  <si>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</si>
  <si>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</si>
  <si>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</si>
  <si>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</si>
  <si>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</si>
  <si>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</si>
  <si>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</si>
  <si>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</si>
  <si>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</si>
  <si>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</si>
  <si>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</si>
  <si>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</si>
  <si>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</si>
  <si>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</si>
  <si>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</si>
  <si>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</si>
  <si>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</si>
  <si>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</si>
  <si>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</si>
  <si>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</si>
  <si>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</si>
  <si>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</si>
  <si>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</si>
  <si>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</si>
  <si>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</si>
  <si>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</si>
  <si>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</si>
  <si>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</si>
  <si>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</si>
  <si>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</si>
  <si>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</si>
  <si>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</si>
  <si>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</si>
  <si>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</si>
  <si>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</si>
  <si>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</si>
  <si>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</si>
  <si>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</si>
  <si>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</si>
  <si>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</si>
  <si>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</si>
  <si>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</si>
  <si>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</si>
  <si>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</si>
  <si>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</si>
  <si>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</si>
  <si>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</si>
  <si>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</si>
  <si>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</si>
  <si>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</si>
  <si>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</si>
  <si>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</si>
  <si>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</si>
  <si>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</si>
  <si>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</si>
  <si>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</si>
  <si>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</si>
  <si>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</si>
  <si>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</si>
  <si>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</si>
  <si>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</si>
  <si>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</si>
  <si>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</si>
  <si>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</si>
  <si>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</si>
  <si>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</si>
  <si>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</si>
  <si>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</si>
  <si>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</si>
  <si>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</si>
  <si>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</si>
  <si>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</si>
  <si>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</si>
  <si>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</si>
  <si>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</si>
  <si>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</si>
  <si>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</si>
  <si>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</si>
  <si>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</si>
  <si>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</si>
  <si>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</si>
  <si>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</si>
  <si>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</si>
  <si>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</si>
  <si>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</si>
  <si>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</si>
  <si>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</si>
  <si>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</si>
  <si>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</si>
  <si>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</si>
  <si>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</si>
  <si>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</si>
  <si>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</si>
  <si>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</si>
  <si>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</si>
  <si>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</si>
  <si>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</si>
  <si>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</si>
  <si>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</si>
  <si>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</si>
  <si>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</si>
  <si>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</si>
  <si>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</si>
  <si>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</si>
  <si>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</si>
  <si>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</si>
  <si>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</si>
  <si>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</si>
  <si>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</si>
  <si>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</si>
  <si>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</si>
  <si>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</si>
  <si>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</si>
  <si>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</si>
  <si>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</si>
  <si>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</si>
  <si>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</si>
  <si>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</si>
  <si>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</si>
  <si>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</si>
  <si>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</si>
  <si>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</si>
  <si>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</si>
  <si>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</si>
  <si>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</si>
  <si>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</si>
  <si>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</si>
  <si>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</si>
  <si>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</si>
  <si>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</si>
  <si>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</si>
  <si>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</si>
  <si>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</si>
  <si>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</si>
  <si>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</si>
  <si>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</si>
  <si>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</si>
  <si>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</si>
  <si>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</si>
  <si>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</si>
  <si>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</si>
  <si>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</si>
  <si>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</si>
  <si>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</si>
  <si>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</si>
  <si>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</si>
  <si>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</si>
  <si>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</si>
  <si>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</si>
  <si>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</si>
  <si>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</si>
  <si>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</si>
  <si>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</si>
  <si>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</si>
  <si>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</si>
  <si>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</si>
  <si>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</si>
  <si>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</si>
  <si>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</si>
  <si>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</si>
  <si>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</si>
  <si>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</si>
  <si>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</si>
  <si>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</si>
  <si>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</si>
  <si>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</si>
  <si>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</si>
  <si>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</si>
  <si>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</si>
  <si>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</si>
  <si>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</si>
  <si>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</si>
  <si>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</si>
  <si>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</si>
  <si>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</si>
  <si>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</si>
  <si>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</si>
  <si>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</si>
  <si>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</si>
  <si>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</si>
  <si>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</si>
  <si>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</si>
  <si>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</si>
  <si>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</si>
  <si>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</si>
  <si>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</si>
  <si>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</si>
  <si>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</si>
  <si>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</si>
  <si>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</si>
  <si>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</si>
  <si>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</si>
  <si>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</si>
  <si>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</si>
  <si>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</si>
  <si>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</si>
  <si>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</si>
  <si>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</si>
  <si>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</si>
  <si>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</si>
  <si>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</si>
  <si>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</si>
  <si>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</si>
  <si>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</si>
  <si>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</si>
  <si>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</si>
  <si>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</si>
  <si>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</si>
  <si>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</si>
  <si>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</si>
  <si>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</si>
  <si>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</si>
  <si>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</si>
  <si>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</si>
  <si>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</si>
  <si>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</si>
  <si>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</si>
  <si>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</si>
  <si>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</si>
  <si>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</si>
  <si>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</si>
  <si>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</si>
  <si>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</si>
  <si>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</si>
  <si>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</si>
  <si>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</si>
  <si>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</si>
  <si>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</si>
  <si>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</si>
  <si>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</si>
  <si>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</si>
  <si>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</si>
  <si>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</si>
  <si>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</si>
  <si>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</si>
  <si>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</si>
  <si>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</si>
  <si>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</si>
  <si>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</si>
  <si>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</si>
  <si>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</si>
  <si>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</si>
  <si>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</si>
  <si>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</si>
  <si>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</si>
  <si>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</si>
  <si>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</si>
  <si>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</si>
  <si>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</si>
  <si>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</si>
  <si>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</si>
  <si>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</si>
  <si>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</si>
  <si>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</si>
  <si>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</si>
  <si>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</si>
  <si>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</si>
  <si>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</si>
  <si>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</si>
  <si>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</si>
  <si>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</si>
  <si>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</si>
  <si>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</si>
  <si>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</si>
  <si>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</si>
  <si>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</si>
  <si>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</si>
  <si>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</si>
  <si>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</si>
  <si>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</si>
  <si>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</si>
  <si>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</si>
  <si>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</si>
  <si>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</si>
  <si>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</si>
  <si>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</si>
  <si>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</si>
  <si>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</si>
  <si>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</si>
  <si>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</si>
  <si>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</si>
  <si>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</si>
  <si>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</si>
  <si>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</si>
  <si>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</si>
  <si>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</si>
  <si>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</si>
  <si>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</si>
  <si>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</si>
  <si>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</si>
  <si>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</si>
  <si>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</si>
  <si>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</si>
  <si>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</si>
  <si>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</si>
  <si>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</si>
  <si>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</si>
  <si>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</si>
  <si>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</si>
  <si>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</si>
  <si>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</si>
  <si>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</si>
  <si>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</si>
  <si>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</si>
  <si>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</si>
  <si>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</si>
  <si>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</si>
  <si>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</si>
  <si>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</si>
  <si>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</si>
  <si>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</si>
  <si>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</si>
  <si>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</si>
  <si>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</si>
  <si>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</si>
  <si>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</si>
  <si>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</si>
  <si>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</si>
  <si>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</si>
  <si>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</si>
  <si>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</si>
  <si>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</si>
  <si>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</si>
  <si>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</si>
  <si>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</si>
  <si>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</si>
  <si>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</si>
  <si>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</si>
  <si>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</si>
  <si>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</si>
  <si>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</si>
  <si>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</si>
  <si>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</si>
  <si>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</si>
  <si>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</si>
  <si>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</si>
  <si>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</si>
  <si>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</si>
  <si>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</si>
  <si>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</si>
  <si>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</si>
  <si>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</si>
  <si>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</si>
  <si>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</si>
  <si>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</si>
  <si>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</si>
  <si>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</si>
  <si>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</si>
  <si>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</si>
  <si>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</si>
  <si>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</si>
  <si>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</si>
  <si>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</si>
  <si>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</si>
  <si>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</si>
  <si>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</si>
  <si>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</si>
  <si>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</si>
  <si>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</si>
  <si>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</si>
  <si>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</si>
  <si>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</si>
  <si>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</si>
  <si>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</si>
  <si>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</si>
  <si>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</si>
  <si>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</si>
  <si>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</si>
  <si>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</si>
  <si>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</si>
  <si>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</si>
  <si>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</si>
  <si>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</si>
  <si>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</si>
  <si>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</si>
  <si>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</si>
  <si>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</si>
  <si>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</si>
  <si>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</si>
  <si>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</si>
  <si>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</si>
  <si>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</si>
  <si>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</si>
  <si>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</si>
  <si>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</si>
  <si>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</si>
  <si>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</si>
  <si>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</si>
  <si>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</si>
  <si>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</si>
  <si>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</si>
  <si>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</si>
  <si>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</si>
  <si>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</si>
  <si>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</si>
  <si>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</si>
  <si>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</si>
  <si>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</si>
  <si>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</si>
  <si>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</si>
  <si>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</si>
  <si>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</si>
  <si>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</si>
  <si>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</si>
  <si>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</si>
  <si>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</si>
  <si>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</si>
  <si>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</si>
  <si>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</si>
  <si>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</si>
  <si>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</si>
  <si>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</si>
  <si>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</si>
  <si>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</si>
  <si>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</si>
  <si>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</si>
  <si>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</si>
  <si>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</si>
  <si>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</si>
  <si>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</si>
  <si>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</si>
  <si>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</si>
  <si>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</si>
  <si>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</si>
  <si>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</si>
  <si>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</si>
  <si>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</si>
  <si>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</si>
  <si>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</si>
  <si>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</si>
  <si>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</si>
  <si>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</si>
  <si>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</si>
  <si>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</si>
  <si>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</si>
  <si>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</si>
  <si>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</si>
  <si>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</si>
  <si>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</si>
  <si>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</si>
  <si>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</si>
  <si>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</si>
  <si>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</si>
  <si>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</si>
  <si>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</si>
  <si>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</si>
  <si>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</si>
  <si>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</si>
  <si>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</si>
  <si>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</si>
  <si>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</si>
  <si>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</si>
  <si>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</si>
  <si>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</si>
  <si>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</si>
  <si>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</si>
  <si>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</si>
  <si>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</si>
  <si>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</si>
  <si>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</si>
  <si>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</si>
  <si>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</si>
  <si>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</si>
  <si>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</si>
  <si>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</si>
  <si>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</si>
  <si>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</si>
  <si>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</si>
  <si>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</si>
  <si>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</si>
  <si>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</si>
  <si>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</si>
  <si>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</si>
  <si>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</si>
  <si>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</si>
  <si>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</si>
  <si>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</si>
  <si>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</si>
  <si>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</si>
  <si>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</si>
  <si>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</si>
  <si>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</si>
  <si>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</si>
  <si>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</si>
  <si>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</si>
  <si>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</si>
  <si>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</si>
  <si>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</si>
  <si>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</si>
  <si>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</si>
  <si>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</si>
  <si>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</si>
  <si>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</si>
  <si>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</si>
  <si>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</si>
  <si>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</si>
  <si>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</si>
  <si>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</si>
  <si>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</si>
  <si>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</si>
  <si>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</si>
  <si>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</si>
  <si>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</si>
  <si>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</si>
  <si>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</si>
  <si>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</si>
  <si>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</si>
  <si>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</si>
  <si>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</si>
  <si>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</si>
  <si>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</si>
  <si>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</si>
  <si>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</si>
  <si>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</si>
  <si>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</si>
  <si>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</si>
  <si>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</si>
  <si>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</si>
  <si>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</si>
  <si>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</si>
  <si>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</si>
  <si>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</si>
  <si>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</si>
  <si>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</si>
  <si>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</si>
  <si>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</si>
  <si>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</si>
  <si>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</si>
  <si>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</si>
  <si>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</si>
  <si>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</si>
  <si>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</si>
  <si>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</si>
  <si>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</si>
  <si>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</si>
  <si>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</si>
  <si>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</si>
  <si>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</si>
  <si>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</si>
  <si>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</si>
  <si>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</si>
  <si>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</si>
  <si>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</si>
  <si>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</si>
  <si>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</si>
  <si>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</si>
  <si>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</si>
  <si>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</si>
  <si>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</si>
  <si>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</si>
  <si>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</si>
  <si>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</si>
  <si>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</si>
  <si>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</si>
  <si>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</si>
  <si>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</si>
  <si>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</si>
  <si>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</si>
  <si>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</si>
  <si>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</si>
  <si>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</si>
  <si>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</si>
  <si>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</si>
  <si>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</si>
  <si>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</si>
  <si>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</si>
  <si>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</si>
  <si>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</si>
  <si>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</si>
  <si>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</si>
  <si>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</si>
  <si>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</si>
  <si>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</si>
  <si>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</si>
  <si>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</si>
  <si>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</si>
  <si>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</si>
  <si>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</si>
  <si>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</si>
  <si>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</si>
  <si>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</si>
  <si>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</si>
  <si>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</si>
  <si>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</si>
  <si>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</si>
  <si>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</si>
  <si>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</si>
  <si>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</si>
  <si>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</si>
  <si>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</si>
  <si>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</si>
  <si>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</si>
  <si>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</si>
  <si>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</si>
  <si>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</si>
  <si>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</si>
  <si>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</si>
  <si>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</si>
  <si>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</si>
  <si>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</si>
  <si>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</si>
  <si>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</si>
  <si>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</si>
  <si>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</si>
  <si>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</si>
  <si>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</si>
  <si>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</si>
  <si>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</si>
  <si>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</si>
  <si>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</si>
  <si>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</si>
  <si>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</si>
  <si>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</si>
  <si>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</si>
  <si>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</si>
  <si>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</si>
  <si>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</si>
  <si>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</si>
  <si>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</si>
  <si>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</si>
  <si>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</si>
  <si>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</si>
  <si>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</si>
  <si>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</si>
  <si>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</si>
  <si>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</si>
  <si>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</si>
  <si>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</si>
  <si>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</si>
  <si>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</si>
  <si>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</si>
  <si>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</si>
  <si>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</si>
  <si>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</si>
  <si>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</si>
  <si>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</si>
  <si>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</si>
  <si>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</si>
  <si>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</si>
  <si>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</si>
  <si>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</si>
  <si>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</si>
  <si>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</si>
  <si>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</si>
  <si>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</si>
  <si>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</si>
  <si>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</si>
  <si>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</si>
  <si>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</si>
  <si>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</si>
  <si>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</si>
  <si>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</si>
  <si>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</si>
  <si>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</si>
  <si>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</si>
  <si>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</si>
  <si>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</si>
  <si>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</si>
  <si>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</si>
  <si>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</si>
  <si>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</si>
  <si>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</si>
  <si>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</si>
  <si>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</si>
  <si>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</si>
  <si>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</si>
  <si>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</si>
  <si>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</si>
  <si>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</si>
  <si>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</si>
  <si>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</si>
  <si>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</si>
  <si>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</si>
  <si>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</si>
  <si>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</si>
  <si>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</si>
  <si>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</si>
  <si>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</si>
  <si>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</si>
  <si>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</si>
  <si>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</si>
  <si>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</si>
  <si>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</si>
  <si>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</si>
  <si>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</si>
  <si>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</si>
  <si>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</si>
  <si>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</si>
  <si>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</si>
  <si>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</si>
  <si>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</si>
  <si>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</si>
  <si>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</si>
  <si>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</si>
  <si>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</si>
  <si>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</si>
  <si>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</si>
  <si>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</si>
  <si>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</si>
  <si>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</si>
  <si>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</si>
  <si>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</si>
  <si>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</si>
  <si>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</si>
  <si>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</si>
  <si>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</si>
  <si>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</si>
  <si>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</si>
  <si>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</si>
  <si>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</si>
  <si>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</si>
  <si>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</si>
  <si>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</si>
  <si>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</si>
  <si>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</si>
  <si>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</si>
  <si>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</si>
  <si>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</si>
  <si>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</si>
  <si>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</si>
  <si>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</si>
  <si>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</si>
  <si>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</si>
  <si>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</si>
  <si>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</si>
  <si>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</si>
  <si>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</si>
  <si>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</si>
  <si>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</si>
  <si>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</si>
  <si>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</si>
  <si>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</si>
  <si>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</si>
  <si>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</si>
  <si>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</si>
  <si>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</si>
  <si>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</si>
  <si>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</si>
  <si>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</si>
  <si>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</si>
  <si>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</si>
  <si>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</si>
  <si>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</si>
  <si>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</si>
  <si>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</si>
  <si>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</si>
  <si>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</si>
  <si>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</si>
  <si>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</si>
  <si>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</si>
  <si>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</si>
  <si>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</si>
  <si>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</si>
  <si>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</si>
  <si>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</si>
  <si>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</si>
  <si>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</si>
  <si>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</si>
  <si>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</si>
  <si>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</si>
  <si>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</si>
  <si>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</si>
  <si>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</si>
  <si>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</si>
  <si>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</si>
  <si>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</si>
  <si>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</si>
  <si>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</si>
  <si>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</si>
  <si>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</si>
  <si>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</si>
  <si>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</si>
  <si>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</si>
  <si>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</si>
  <si>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</si>
  <si>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</si>
  <si>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</si>
  <si>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</si>
  <si>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</si>
  <si>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</si>
  <si>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</si>
  <si>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</si>
  <si>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</si>
  <si>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</si>
  <si>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</si>
  <si>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</si>
  <si>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</si>
  <si>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</si>
  <si>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</si>
  <si>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</si>
  <si>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</si>
  <si>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</si>
  <si>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</si>
  <si>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</si>
  <si>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</si>
  <si>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</si>
  <si>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</si>
  <si>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</si>
  <si>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</si>
  <si>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</si>
  <si>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</si>
  <si>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</si>
  <si>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</si>
  <si>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</si>
  <si>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</si>
  <si>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</si>
  <si>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</si>
  <si>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</si>
  <si>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</si>
  <si>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</si>
  <si>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</si>
  <si>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</si>
  <si>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</si>
  <si>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</si>
  <si>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</si>
  <si>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</si>
  <si>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</si>
  <si>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</si>
  <si>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</si>
  <si>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</si>
  <si>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</si>
  <si>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</si>
  <si>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</si>
  <si>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</si>
  <si>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</si>
  <si>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</si>
  <si>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</si>
  <si>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</si>
  <si>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</si>
  <si>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</si>
  <si>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</si>
  <si>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</si>
  <si>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</si>
  <si>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</si>
  <si>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</si>
  <si>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</si>
  <si>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</si>
  <si>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</si>
  <si>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</si>
  <si>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</si>
  <si>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</si>
  <si>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</si>
  <si>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</si>
  <si>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</si>
  <si>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</si>
  <si>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</si>
  <si>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</si>
  <si>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</si>
  <si>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</si>
  <si>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</si>
  <si>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</si>
  <si>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</si>
  <si>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</si>
  <si>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</si>
  <si>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</si>
  <si>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</si>
  <si>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</si>
  <si>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</si>
  <si>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</si>
  <si>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</si>
  <si>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</si>
  <si>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</si>
  <si>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</si>
  <si>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</si>
  <si>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</si>
  <si>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</si>
  <si>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</si>
  <si>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</si>
  <si>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</si>
  <si>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</si>
  <si>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</si>
  <si>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</si>
  <si>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</si>
  <si>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</si>
  <si>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</si>
  <si>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</si>
  <si>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</si>
  <si>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</si>
  <si>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</si>
  <si>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</si>
  <si>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</si>
  <si>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</si>
  <si>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</si>
  <si>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</si>
  <si>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</si>
  <si>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</si>
  <si>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</si>
  <si>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</si>
  <si>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</si>
  <si>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</si>
  <si>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</si>
  <si>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</si>
  <si>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</si>
  <si>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</si>
  <si>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</si>
  <si>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</si>
  <si>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</si>
  <si>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</si>
  <si>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</si>
  <si>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</si>
  <si>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</si>
  <si>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</si>
  <si>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</si>
  <si>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</si>
  <si>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</si>
  <si>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</si>
  <si>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</si>
  <si>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</si>
  <si>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</si>
  <si>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</si>
  <si>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</si>
  <si>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</si>
  <si>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</si>
  <si>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</si>
  <si>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</si>
  <si>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</si>
  <si>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</si>
  <si>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</si>
  <si>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</si>
  <si>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</si>
  <si>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</si>
  <si>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</si>
  <si>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</si>
  <si>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</si>
  <si>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</si>
  <si>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</si>
  <si>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</si>
  <si>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</si>
  <si>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</si>
  <si>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</si>
  <si>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</si>
  <si>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</si>
  <si>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</si>
  <si>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</si>
  <si>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</si>
  <si>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</si>
  <si>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</si>
  <si>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</si>
  <si>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</si>
  <si>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</si>
  <si>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</si>
  <si>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</si>
  <si>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</si>
  <si>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</si>
  <si>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</si>
  <si>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</si>
  <si>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</si>
  <si>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</si>
  <si>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</si>
  <si>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</si>
  <si>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</si>
  <si>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</si>
  <si>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</si>
  <si>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</si>
  <si>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</si>
  <si>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</si>
  <si>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</si>
  <si>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</si>
  <si>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</si>
  <si>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</si>
  <si>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</si>
  <si>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</si>
  <si>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</si>
  <si>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</si>
  <si>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</si>
  <si>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</si>
  <si>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</si>
  <si>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</si>
  <si>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</si>
  <si>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</si>
  <si>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</si>
  <si>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</si>
  <si>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</si>
  <si>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</si>
  <si>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</si>
  <si>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</si>
  <si>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</si>
  <si>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</si>
  <si>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</si>
  <si>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</si>
  <si>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</si>
  <si>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</si>
  <si>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</si>
  <si>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</si>
  <si>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</si>
  <si>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</si>
  <si>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</si>
  <si>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</si>
  <si>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</si>
  <si>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</si>
  <si>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</si>
  <si>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</si>
  <si>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</si>
  <si>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</si>
  <si>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</si>
  <si>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</si>
  <si>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</si>
  <si>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</si>
  <si>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</si>
  <si>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</si>
  <si>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</si>
  <si>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</si>
  <si>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</si>
  <si>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</si>
  <si>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</si>
  <si>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</si>
  <si>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</si>
  <si>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</si>
  <si>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</si>
  <si>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</si>
  <si>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</si>
  <si>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</si>
  <si>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</si>
  <si>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</si>
  <si>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</si>
  <si>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</si>
  <si>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</si>
  <si>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</si>
  <si>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</si>
  <si>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</si>
  <si>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</si>
  <si>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</si>
  <si>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</si>
  <si>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</si>
  <si>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</si>
  <si>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</si>
  <si>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</si>
  <si>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</si>
  <si>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</si>
  <si>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</si>
  <si>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</si>
  <si>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</si>
  <si>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</si>
  <si>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</si>
  <si>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</si>
  <si>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</si>
  <si>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</si>
  <si>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</si>
  <si>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</si>
  <si>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</si>
  <si>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</si>
  <si>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</si>
  <si>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</si>
  <si>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</si>
  <si>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</si>
  <si>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</si>
  <si>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</si>
  <si>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</si>
  <si>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</si>
  <si>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</si>
  <si>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</si>
  <si>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</si>
  <si>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</si>
  <si>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</si>
  <si>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</si>
  <si>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</si>
  <si>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</si>
  <si>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</si>
  <si>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</si>
  <si>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</si>
  <si>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</si>
  <si>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</si>
  <si>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</si>
  <si>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</si>
  <si>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</si>
  <si>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</si>
  <si>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</si>
  <si>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</si>
  <si>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</si>
  <si>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</si>
  <si>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</si>
  <si>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</si>
  <si>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</si>
  <si>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</si>
  <si>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</si>
  <si>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</si>
  <si>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</si>
  <si>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</si>
  <si>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</si>
  <si>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</si>
  <si>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</si>
  <si>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</si>
  <si>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</si>
  <si>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</si>
  <si>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</si>
  <si>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</si>
  <si>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</si>
  <si>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</si>
  <si>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</si>
  <si>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</si>
  <si>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</si>
  <si>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</si>
  <si>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</si>
  <si>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</si>
  <si>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</si>
  <si>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</si>
  <si>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</si>
  <si>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</si>
  <si>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</si>
  <si>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</si>
  <si>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</si>
  <si>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</si>
  <si>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</si>
  <si>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</si>
  <si>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</si>
  <si>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</si>
  <si>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</si>
  <si>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</si>
  <si>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</si>
  <si>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</si>
  <si>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</si>
  <si>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</si>
  <si>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</si>
  <si>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</si>
  <si>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</si>
  <si>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</si>
  <si>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</si>
  <si>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</si>
  <si>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</si>
  <si>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</si>
  <si>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</si>
  <si>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</si>
  <si>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</si>
  <si>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</si>
  <si>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</si>
  <si>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</si>
  <si>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</si>
  <si>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</si>
  <si>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</si>
  <si>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</si>
  <si>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</si>
  <si>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</si>
  <si>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</si>
  <si>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</si>
  <si>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</si>
  <si>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</si>
  <si>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</si>
  <si>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</si>
  <si>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</si>
  <si>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</si>
  <si>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</si>
  <si>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</si>
  <si>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</si>
  <si>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</si>
  <si>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</si>
  <si>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</si>
  <si>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</si>
  <si>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</si>
  <si>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</si>
  <si>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</si>
  <si>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</si>
  <si>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</si>
  <si>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</si>
  <si>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</si>
  <si>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</si>
  <si>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</si>
  <si>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</si>
  <si>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</si>
  <si>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</si>
  <si>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</si>
  <si>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</si>
  <si>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</si>
  <si>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</si>
  <si>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</si>
  <si>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</si>
  <si>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</si>
  <si>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</si>
  <si>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</si>
  <si>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</si>
  <si>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</si>
  <si>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</si>
  <si>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</si>
  <si>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</si>
  <si>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</si>
  <si>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</si>
  <si>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</si>
  <si>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</si>
  <si>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</si>
  <si>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</si>
  <si>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</si>
  <si>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</si>
  <si>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</si>
  <si>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</si>
  <si>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</si>
  <si>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</si>
  <si>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</si>
  <si>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</si>
  <si>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</si>
  <si>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</si>
  <si>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</si>
  <si>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</si>
  <si>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</si>
  <si>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</si>
  <si>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</si>
  <si>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</si>
  <si>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</si>
  <si>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</si>
  <si>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</si>
  <si>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</si>
  <si>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</si>
  <si>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</si>
  <si>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</si>
  <si>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</si>
  <si>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</si>
  <si>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</si>
  <si>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</si>
  <si>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</si>
  <si>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</si>
  <si>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</si>
  <si>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</si>
  <si>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</si>
  <si>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</si>
  <si>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</si>
  <si>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</si>
  <si>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</si>
  <si>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</si>
  <si>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</si>
  <si>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</si>
  <si>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</si>
  <si>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</si>
  <si>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</si>
  <si>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</si>
  <si>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</si>
  <si>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</si>
  <si>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</si>
  <si>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</si>
  <si>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</si>
  <si>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</si>
  <si>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</si>
  <si>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</si>
  <si>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</si>
  <si>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</si>
  <si>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</si>
  <si>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</si>
  <si>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</si>
  <si>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</si>
  <si>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</si>
  <si>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</si>
  <si>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</si>
  <si>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</si>
  <si>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</si>
  <si>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</si>
  <si>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</si>
  <si>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</si>
  <si>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</si>
  <si>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</si>
  <si>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</si>
  <si>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</si>
  <si>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</si>
  <si>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</si>
  <si>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</si>
  <si>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</si>
  <si>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</si>
  <si>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</si>
  <si>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</si>
  <si>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</si>
  <si>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</si>
  <si>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</si>
  <si>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</si>
  <si>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</si>
  <si>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</si>
  <si>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</si>
  <si>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</si>
  <si>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</si>
  <si>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</si>
  <si>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</si>
  <si>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</si>
  <si>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</si>
  <si>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</si>
  <si>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</si>
  <si>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</si>
  <si>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</si>
  <si>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</si>
  <si>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</si>
  <si>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</si>
  <si>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</si>
  <si>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</si>
  <si>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</si>
  <si>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</si>
  <si>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</si>
  <si>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</si>
  <si>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</si>
  <si>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</si>
  <si>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</si>
  <si>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</si>
  <si>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</si>
  <si>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</si>
  <si>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</si>
  <si>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</si>
  <si>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</si>
  <si>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</si>
  <si>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</si>
  <si>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</si>
  <si>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</si>
  <si>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</si>
  <si>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</si>
  <si>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</si>
  <si>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</si>
  <si>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</si>
  <si>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</si>
  <si>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</si>
  <si>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</si>
  <si>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</si>
  <si>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</si>
  <si>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</si>
  <si>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</si>
  <si>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</si>
  <si>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</si>
  <si>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</si>
  <si>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</si>
  <si>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</si>
  <si>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</si>
  <si>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</si>
  <si>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</si>
  <si>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</si>
  <si>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</si>
  <si>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</si>
  <si>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</si>
  <si>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</si>
  <si>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</si>
  <si>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</si>
  <si>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</si>
  <si>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</si>
  <si>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</si>
  <si>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</si>
  <si>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</si>
  <si>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</si>
  <si>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</si>
  <si>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</si>
  <si>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</si>
  <si>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</si>
  <si>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</si>
  <si>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</si>
  <si>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</si>
  <si>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</si>
  <si>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</si>
  <si>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</si>
  <si>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</si>
  <si>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</si>
  <si>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</si>
  <si>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</si>
  <si>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</si>
  <si>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</si>
  <si>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</si>
  <si>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</si>
  <si>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</si>
  <si>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</si>
  <si>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</si>
  <si>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</si>
  <si>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</si>
  <si>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</si>
  <si>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</si>
  <si>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</si>
  <si>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</si>
  <si>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</si>
  <si>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</si>
  <si>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</si>
  <si>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</si>
  <si>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</si>
  <si>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</si>
  <si>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</si>
  <si>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</si>
  <si>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</si>
  <si>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</si>
  <si>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</si>
  <si>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</si>
  <si>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</si>
  <si>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</si>
  <si>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</si>
  <si>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</si>
  <si>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</si>
  <si>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</si>
  <si>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</si>
  <si>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</si>
  <si>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</si>
  <si>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</si>
  <si>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</si>
  <si>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</si>
  <si>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</si>
  <si>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</si>
  <si>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</si>
  <si>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</si>
  <si>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</si>
  <si>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</si>
  <si>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</si>
  <si>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</si>
  <si>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</si>
  <si>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</si>
  <si>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</si>
  <si>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</si>
  <si>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</si>
  <si>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</si>
  <si>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</si>
  <si>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</si>
  <si>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</si>
  <si>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</si>
  <si>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</si>
  <si>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</si>
  <si>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</si>
  <si>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</si>
  <si>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</si>
  <si>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</si>
  <si>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</si>
  <si>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</si>
  <si>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</si>
  <si>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</si>
  <si>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</si>
  <si>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</si>
  <si>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</si>
  <si>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</si>
  <si>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</si>
  <si>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</si>
  <si>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</si>
  <si>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</si>
  <si>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</si>
  <si>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</si>
  <si>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</si>
  <si>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</si>
  <si>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</si>
  <si>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</si>
  <si>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</si>
  <si>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</si>
  <si>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</si>
  <si>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</si>
  <si>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</si>
  <si>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</si>
  <si>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</si>
  <si>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</si>
  <si>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</si>
  <si>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</si>
  <si>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</si>
  <si>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</si>
  <si>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</si>
  <si>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</si>
  <si>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</si>
  <si>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</si>
  <si>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</si>
  <si>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</si>
  <si>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</si>
  <si>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</si>
  <si>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</si>
  <si>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</si>
  <si>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</si>
  <si>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</si>
  <si>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</si>
  <si>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</si>
  <si>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</si>
  <si>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</si>
  <si>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</si>
  <si>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</si>
  <si>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</si>
  <si>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</si>
  <si>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</si>
  <si>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</si>
  <si>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</si>
  <si>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</si>
  <si>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</si>
  <si>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</si>
  <si>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</si>
  <si>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</si>
  <si>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</si>
  <si>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</si>
  <si>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</si>
  <si>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</si>
  <si>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</si>
  <si>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</si>
  <si>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</si>
  <si>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</si>
  <si>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</si>
  <si>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</si>
  <si>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</si>
  <si>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</si>
  <si>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</si>
  <si>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</si>
  <si>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</si>
  <si>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</si>
  <si>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</si>
  <si>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</si>
  <si>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</si>
  <si>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</si>
  <si>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</si>
  <si>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</si>
  <si>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</si>
  <si>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</si>
  <si>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</si>
  <si>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</si>
  <si>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</si>
  <si>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</si>
  <si>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</si>
  <si>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</si>
  <si>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</si>
  <si>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</si>
  <si>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</si>
  <si>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</si>
  <si>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</si>
  <si>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</si>
  <si>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</si>
  <si>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</si>
  <si>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</si>
  <si>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</si>
  <si>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</si>
  <si>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</si>
  <si>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</si>
  <si>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</si>
  <si>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</si>
  <si>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</si>
  <si>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</si>
  <si>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</si>
  <si>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</si>
  <si>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</si>
  <si>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</si>
  <si>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</si>
  <si>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</si>
  <si>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</si>
  <si>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</si>
  <si>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</si>
  <si>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</si>
  <si>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</si>
  <si>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</si>
  <si>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</si>
  <si>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</si>
  <si>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</si>
  <si>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</si>
  <si>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</si>
  <si>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</si>
  <si>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</si>
  <si>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</si>
  <si>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</si>
  <si>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</si>
  <si>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</si>
  <si>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</si>
  <si>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</si>
  <si>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</si>
  <si>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</si>
  <si>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</si>
  <si>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</si>
  <si>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</si>
  <si>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</si>
  <si>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</si>
  <si>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</si>
  <si>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</si>
  <si>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</si>
  <si>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</si>
  <si>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</si>
  <si>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</si>
  <si>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</si>
  <si>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</si>
  <si>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</si>
  <si>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</si>
  <si>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</si>
  <si>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</si>
  <si>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</si>
  <si>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</si>
  <si>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</si>
  <si>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</si>
  <si>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</si>
  <si>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</si>
  <si>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</si>
  <si>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</si>
  <si>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</si>
  <si>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</si>
  <si>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</si>
  <si>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</si>
  <si>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</si>
  <si>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</si>
  <si>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</si>
  <si>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</si>
  <si>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</si>
  <si>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</si>
  <si>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</si>
  <si>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</si>
  <si>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</si>
  <si>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</si>
  <si>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</si>
  <si>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</si>
  <si>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</si>
  <si>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</si>
  <si>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</si>
  <si>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</si>
  <si>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</si>
  <si>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</si>
  <si>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</si>
  <si>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</si>
  <si>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</si>
  <si>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</si>
  <si>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</si>
  <si>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</si>
  <si>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</si>
  <si>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</si>
  <si>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</si>
  <si>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</si>
  <si>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</si>
  <si>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</si>
  <si>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</si>
  <si>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</si>
  <si>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</si>
  <si>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</si>
  <si>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</si>
  <si>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</si>
  <si>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</si>
  <si>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</si>
  <si>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</si>
  <si>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</si>
  <si>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</si>
  <si>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</si>
  <si>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</si>
  <si>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</si>
  <si>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</si>
  <si>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</si>
  <si>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</si>
  <si>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</si>
  <si>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</si>
  <si>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</si>
  <si>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</si>
  <si>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</si>
  <si>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</si>
  <si>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</si>
  <si>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</si>
  <si>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</si>
  <si>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</si>
  <si>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</si>
  <si>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</si>
  <si>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</si>
  <si>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</si>
  <si>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</si>
  <si>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</si>
  <si>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</si>
  <si>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</si>
  <si>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</si>
  <si>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</si>
  <si>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</si>
  <si>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</si>
  <si>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</si>
  <si>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</si>
  <si>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</si>
  <si>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</si>
  <si>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</si>
  <si>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</si>
  <si>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</si>
  <si>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</si>
  <si>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</si>
  <si>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</si>
  <si>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</si>
  <si>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</si>
  <si>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</si>
  <si>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</si>
  <si>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</si>
  <si>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</si>
  <si>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</si>
  <si>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</si>
  <si>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</si>
  <si>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</si>
  <si>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</si>
  <si>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</si>
  <si>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</si>
  <si>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</si>
  <si>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</si>
  <si>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</si>
  <si>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</si>
  <si>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</si>
  <si>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</si>
  <si>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</si>
  <si>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</si>
  <si>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</si>
  <si>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</si>
  <si>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</si>
  <si>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</si>
  <si>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</si>
  <si>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</si>
  <si>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</si>
  <si>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</si>
  <si>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</si>
  <si>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</si>
  <si>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</si>
  <si>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</si>
  <si>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</si>
  <si>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</si>
  <si>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</si>
  <si>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</si>
  <si>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</si>
  <si>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</si>
  <si>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</si>
  <si>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</si>
  <si>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</si>
  <si>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</si>
  <si>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</si>
  <si>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</si>
  <si>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</si>
  <si>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</si>
  <si>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</si>
  <si>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</si>
  <si>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</si>
  <si>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</si>
  <si>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</si>
  <si>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</si>
  <si>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</si>
  <si>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</si>
  <si>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</si>
  <si>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</si>
  <si>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</si>
  <si>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</si>
  <si>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</si>
  <si>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</si>
  <si>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</si>
  <si>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</si>
  <si>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</si>
  <si>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</si>
  <si>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</si>
  <si>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</si>
  <si>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</si>
  <si>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</si>
  <si>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</si>
  <si>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</si>
  <si>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</si>
  <si>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</si>
  <si>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</si>
  <si>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</si>
  <si>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</si>
  <si>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</si>
  <si>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</si>
  <si>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</si>
  <si>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</si>
  <si>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</si>
  <si>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</si>
  <si>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</si>
  <si>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</si>
  <si>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</si>
  <si>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</si>
  <si>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</si>
  <si>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</si>
  <si>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</si>
  <si>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</si>
  <si>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</si>
  <si>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</si>
  <si>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</si>
  <si>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</si>
  <si>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</si>
  <si>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</si>
  <si>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</si>
  <si>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</si>
  <si>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</si>
  <si>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</si>
  <si>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</si>
  <si>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</si>
  <si>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</si>
  <si>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</si>
  <si>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</si>
  <si>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</si>
  <si>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</si>
  <si>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</si>
  <si>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</si>
  <si>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</si>
  <si>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</si>
  <si>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</si>
  <si>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</si>
  <si>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</si>
  <si>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</si>
  <si>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</si>
  <si>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</si>
  <si>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</si>
  <si>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</si>
  <si>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</si>
  <si>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</si>
  <si>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</si>
  <si>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</si>
  <si>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</si>
  <si>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</si>
  <si>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</si>
  <si>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</si>
  <si>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</si>
  <si>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</si>
  <si>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</si>
  <si>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</si>
  <si>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</si>
  <si>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</si>
  <si>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</si>
  <si>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</si>
  <si>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</si>
  <si>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</si>
  <si>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</si>
  <si>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</si>
  <si>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</si>
  <si>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</si>
  <si>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</si>
  <si>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</si>
  <si>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</si>
  <si>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</si>
  <si>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</si>
  <si>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</si>
  <si>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</si>
  <si>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</si>
  <si>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</si>
  <si>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</si>
  <si>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</si>
  <si>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</si>
  <si>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</si>
  <si>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</si>
  <si>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</si>
  <si>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</si>
  <si>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</si>
  <si>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</si>
  <si>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</si>
  <si>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</si>
  <si>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</si>
  <si>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</si>
  <si>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</si>
  <si>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</si>
  <si>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</si>
  <si>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</si>
  <si>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</si>
  <si>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</si>
  <si>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</si>
  <si>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</si>
  <si>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</si>
  <si>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</si>
  <si>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</si>
  <si>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</si>
  <si>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</si>
  <si>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</si>
  <si>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</si>
  <si>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</si>
  <si>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</si>
  <si>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</si>
  <si>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</si>
  <si>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</si>
  <si>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</si>
  <si>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</si>
  <si>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</si>
  <si>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</si>
  <si>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</si>
  <si>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</si>
  <si>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</si>
  <si>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</si>
  <si>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</si>
  <si>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</si>
  <si>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</si>
  <si>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</si>
  <si>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</si>
  <si>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</si>
  <si>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</si>
  <si>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</si>
  <si>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</si>
  <si>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</si>
  <si>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</si>
  <si>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</si>
  <si>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</si>
  <si>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</si>
  <si>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</si>
  <si>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</si>
  <si>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</si>
  <si>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</si>
  <si>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</si>
  <si>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</si>
  <si>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</si>
  <si>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</si>
  <si>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</si>
  <si>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</si>
  <si>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</si>
  <si>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</si>
  <si>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</si>
  <si>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</si>
  <si>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</si>
  <si>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</si>
  <si>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</si>
  <si>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</si>
  <si>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</si>
  <si>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</si>
  <si>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</si>
  <si>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</si>
  <si>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</si>
  <si>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</si>
  <si>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</si>
  <si>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</si>
  <si>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</si>
  <si>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</si>
  <si>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</si>
  <si>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</si>
  <si>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</si>
  <si>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</si>
  <si>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</si>
  <si>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</si>
  <si>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</si>
  <si>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</si>
  <si>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</si>
  <si>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</si>
  <si>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</si>
  <si>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</si>
  <si>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</si>
  <si>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</si>
  <si>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</si>
  <si>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</si>
  <si>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</si>
  <si>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</si>
  <si>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</si>
  <si>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</si>
  <si>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</si>
  <si>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</si>
  <si>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</si>
  <si>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</si>
  <si>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</si>
  <si>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</si>
  <si>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</si>
  <si>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</si>
  <si>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</si>
  <si>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</si>
  <si>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</si>
  <si>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</si>
  <si>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</si>
  <si>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</si>
  <si>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</si>
  <si>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</si>
  <si>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</si>
  <si>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</si>
  <si>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</si>
  <si>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</si>
  <si>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</si>
  <si>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</si>
  <si>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</si>
  <si>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</si>
  <si>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</si>
  <si>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</si>
  <si>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</si>
  <si>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</si>
  <si>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</si>
  <si>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</si>
  <si>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</si>
  <si>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</si>
  <si>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</si>
  <si>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</si>
  <si>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</si>
  <si>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</si>
  <si>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</si>
  <si>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</si>
  <si>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</si>
  <si>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</si>
  <si>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</si>
  <si>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</si>
  <si>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</si>
  <si>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</si>
  <si>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</si>
  <si>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</si>
  <si>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</si>
  <si>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</si>
  <si>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</si>
  <si>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</si>
  <si>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</si>
  <si>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</si>
  <si>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</si>
  <si>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</si>
  <si>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</si>
  <si>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</si>
  <si>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</si>
  <si>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</si>
  <si>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</si>
  <si>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</si>
  <si>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</si>
  <si>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</si>
  <si>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</si>
  <si>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</si>
  <si>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</si>
  <si>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</si>
  <si>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</si>
  <si>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</si>
  <si>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</si>
  <si>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</si>
  <si>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</si>
  <si>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</si>
  <si>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</si>
  <si>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</si>
  <si>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</si>
  <si>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</si>
  <si>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</si>
  <si>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</si>
  <si>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</si>
  <si>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</si>
  <si>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</si>
  <si>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</si>
  <si>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</si>
  <si>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</si>
  <si>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</si>
  <si>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</si>
  <si>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</si>
  <si>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</si>
  <si>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</si>
  <si>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</si>
  <si>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</si>
  <si>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</si>
  <si>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</si>
  <si>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</si>
  <si>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</si>
  <si>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</si>
  <si>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</si>
  <si>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</si>
  <si>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</si>
  <si>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</si>
  <si>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</si>
  <si>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</si>
  <si>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</si>
  <si>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</si>
  <si>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</si>
  <si>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</si>
  <si>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</si>
  <si>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</si>
  <si>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</si>
  <si>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</si>
  <si>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</si>
  <si>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</si>
  <si>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</si>
  <si>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</si>
  <si>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</si>
  <si>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</si>
  <si>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</si>
  <si>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</si>
  <si>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</si>
  <si>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</si>
  <si>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</si>
  <si>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</si>
  <si>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</si>
  <si>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</si>
  <si>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</si>
  <si>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</si>
  <si>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</si>
  <si>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</si>
  <si>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</si>
  <si>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</si>
  <si>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</si>
  <si>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</si>
  <si>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</si>
  <si>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</si>
  <si>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</si>
  <si>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</si>
  <si>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</si>
  <si>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</si>
  <si>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</si>
  <si>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</si>
  <si>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</si>
  <si>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</si>
  <si>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</si>
  <si>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</si>
  <si>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</si>
  <si>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</si>
  <si>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</si>
  <si>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</si>
  <si>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</si>
  <si>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</si>
  <si>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</si>
  <si>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</si>
  <si>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</si>
  <si>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</si>
  <si>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</si>
  <si>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</si>
  <si>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</si>
  <si>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</si>
  <si>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</si>
  <si>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</si>
  <si>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</si>
  <si>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</si>
  <si>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</si>
  <si>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</si>
  <si>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</si>
  <si>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</si>
  <si>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</si>
  <si>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</si>
  <si>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</si>
  <si>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</si>
  <si>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</si>
  <si>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</si>
  <si>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</si>
  <si>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</si>
  <si>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</si>
  <si>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</si>
  <si>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</si>
  <si>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</si>
  <si>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</si>
  <si>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</si>
  <si>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</si>
  <si>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</si>
  <si>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</si>
  <si>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</si>
  <si>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</si>
  <si>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</si>
  <si>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</si>
  <si>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</si>
  <si>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</si>
  <si>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</si>
  <si>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</si>
  <si>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</si>
  <si>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</si>
  <si>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</si>
  <si>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</si>
  <si>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</si>
  <si>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</si>
  <si>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</si>
  <si>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</si>
  <si>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</si>
  <si>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</si>
  <si>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</si>
  <si>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</si>
  <si>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</si>
  <si>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</si>
  <si>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</si>
  <si>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</si>
  <si>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</si>
  <si>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</si>
  <si>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</si>
  <si>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</si>
  <si>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</si>
  <si>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</si>
  <si>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</si>
  <si>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</si>
  <si>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</si>
  <si>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</si>
  <si>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</si>
  <si>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</si>
  <si>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</si>
  <si>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</si>
  <si>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</si>
  <si>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</si>
  <si>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</si>
  <si>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</si>
  <si>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</si>
  <si>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</si>
  <si>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</si>
  <si>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</si>
  <si>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</si>
  <si>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</si>
  <si>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</si>
  <si>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</si>
  <si>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</si>
  <si>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</si>
  <si>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</si>
  <si>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</si>
  <si>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</si>
  <si>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</si>
  <si>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</si>
  <si>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</si>
  <si>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</si>
  <si>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</si>
  <si>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</si>
  <si>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</si>
  <si>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</si>
  <si>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</si>
  <si>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</si>
  <si>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</si>
  <si>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</si>
  <si>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</si>
  <si>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</si>
  <si>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</si>
  <si>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</si>
  <si>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</si>
  <si>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</si>
  <si>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</si>
  <si>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</si>
  <si>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</si>
  <si>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</si>
  <si>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</si>
  <si>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</si>
  <si>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</si>
  <si>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</si>
  <si>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</si>
  <si>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</si>
  <si>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</si>
  <si>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</si>
  <si>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</si>
  <si>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</si>
  <si>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</si>
  <si>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</si>
  <si>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</si>
  <si>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</si>
  <si>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</si>
  <si>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</si>
  <si>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</si>
  <si>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</si>
  <si>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</si>
  <si>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</si>
  <si>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</si>
  <si>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</si>
  <si>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</si>
  <si>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</si>
  <si>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</si>
  <si>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</si>
  <si>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</si>
  <si>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</si>
  <si>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</si>
  <si>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</si>
  <si>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</si>
  <si>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</si>
  <si>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</si>
  <si>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</si>
  <si>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</si>
  <si>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</si>
  <si>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</si>
  <si>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</si>
  <si>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</si>
  <si>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</si>
  <si>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</si>
  <si>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</si>
  <si>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</si>
  <si>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</si>
  <si>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</si>
  <si>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</si>
  <si>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</si>
  <si>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</si>
  <si>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</si>
  <si>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</si>
  <si>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</si>
  <si>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</si>
  <si>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</si>
  <si>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</si>
  <si>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</si>
  <si>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</si>
  <si>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</si>
  <si>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</si>
  <si>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</si>
  <si>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</si>
  <si>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</si>
  <si>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</si>
  <si>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</si>
  <si>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</si>
  <si>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</si>
  <si>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</si>
  <si>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</si>
  <si>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</si>
  <si>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</si>
  <si>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</si>
  <si>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</si>
  <si>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</si>
  <si>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</si>
  <si>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</si>
  <si>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</si>
  <si>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</si>
  <si>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</si>
  <si>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</si>
  <si>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</si>
  <si>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</si>
  <si>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</si>
  <si>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</si>
  <si>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</si>
  <si>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</si>
  <si>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</si>
  <si>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</si>
  <si>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</si>
  <si>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</si>
  <si>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</si>
  <si>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</si>
  <si>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</si>
  <si>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</si>
  <si>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</si>
  <si>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</si>
  <si>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</si>
  <si>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</si>
  <si>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</si>
  <si>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</si>
  <si>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</si>
  <si>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</si>
  <si>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</si>
  <si>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</si>
  <si>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</si>
  <si>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</si>
  <si>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</si>
  <si>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</si>
  <si>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</si>
  <si>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</si>
  <si>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</si>
  <si>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</si>
  <si>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</si>
  <si>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</si>
  <si>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</si>
  <si>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</si>
  <si>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</si>
  <si>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</si>
  <si>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</si>
  <si>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</si>
  <si>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</si>
  <si>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</si>
  <si>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</si>
  <si>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</si>
  <si>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</si>
  <si>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</si>
  <si>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</si>
  <si>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</si>
  <si>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</si>
  <si>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</si>
  <si>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</si>
  <si>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</si>
  <si>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</si>
  <si>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</si>
  <si>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</si>
  <si>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</si>
  <si>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</si>
  <si>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</si>
  <si>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</si>
  <si>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</si>
  <si>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</si>
  <si>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</si>
  <si>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</si>
  <si>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</si>
  <si>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</si>
  <si>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</si>
  <si>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</si>
  <si>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</si>
  <si>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</si>
  <si>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</si>
  <si>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</si>
  <si>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</si>
  <si>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</si>
  <si>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</si>
  <si>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</si>
  <si>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</si>
  <si>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</si>
  <si>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</si>
  <si>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</si>
  <si>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</si>
  <si>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</si>
  <si>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</si>
  <si>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</si>
  <si>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</si>
  <si>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</si>
  <si>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</si>
  <si>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</si>
  <si>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</si>
  <si>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</si>
  <si>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</si>
  <si>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</si>
  <si>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</si>
  <si>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</si>
  <si>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</si>
  <si>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</si>
  <si>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</si>
  <si>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</si>
  <si>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</si>
  <si>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</si>
  <si>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</si>
  <si>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</si>
  <si>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</si>
  <si>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</si>
  <si>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</si>
  <si>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</si>
  <si>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</si>
  <si>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</si>
  <si>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</si>
  <si>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</si>
  <si>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</si>
  <si>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</si>
  <si>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</si>
  <si>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</si>
  <si>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</si>
  <si>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</si>
  <si>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</si>
  <si>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</si>
  <si>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</si>
  <si>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</si>
  <si>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</si>
  <si>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</si>
  <si>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</si>
  <si>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</si>
  <si>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</si>
  <si>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</si>
  <si>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</si>
  <si>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</si>
  <si>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</si>
  <si>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</si>
  <si>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</si>
  <si>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</si>
  <si>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</si>
  <si>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</si>
  <si>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</si>
  <si>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</si>
  <si>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</si>
  <si>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</si>
  <si>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</si>
  <si>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</si>
  <si>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</si>
  <si>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</si>
  <si>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</si>
  <si>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</si>
  <si>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</si>
  <si>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</si>
  <si>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</si>
  <si>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</si>
  <si>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</si>
  <si>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</si>
  <si>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</si>
  <si>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</si>
  <si>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</si>
  <si>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</si>
  <si>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</si>
  <si>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</si>
  <si>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</si>
  <si>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</si>
  <si>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</si>
  <si>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</si>
  <si>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</si>
  <si>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</si>
  <si>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</si>
  <si>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</si>
  <si>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</si>
  <si>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</si>
  <si>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</si>
  <si>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</si>
  <si>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</si>
  <si>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</si>
  <si>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</si>
  <si>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</si>
  <si>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</si>
  <si>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</si>
  <si>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</si>
  <si>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</si>
  <si>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</si>
  <si>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</si>
  <si>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</si>
  <si>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</si>
  <si>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</si>
  <si>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</si>
  <si>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</si>
  <si>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</si>
  <si>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</si>
  <si>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</si>
  <si>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</si>
  <si>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</si>
  <si>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</si>
  <si>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</si>
  <si>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</si>
  <si>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</si>
  <si>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</si>
  <si>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</si>
  <si>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</si>
  <si>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</si>
  <si>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</si>
  <si>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</si>
  <si>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</si>
  <si>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</si>
  <si>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</si>
  <si>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</si>
  <si>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</si>
  <si>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</si>
  <si>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</si>
  <si>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</si>
  <si>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</si>
  <si>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</si>
  <si>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</si>
  <si>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</si>
  <si>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</si>
  <si>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</si>
  <si>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</si>
  <si>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</si>
  <si>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</si>
  <si>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</si>
  <si>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</si>
  <si>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</si>
  <si>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</si>
  <si>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</si>
  <si>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</si>
  <si>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</si>
  <si>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</si>
  <si>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</si>
  <si>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</si>
  <si>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</si>
  <si>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</si>
  <si>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</si>
  <si>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</si>
  <si>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</si>
  <si>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</si>
  <si>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</si>
  <si>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</si>
  <si>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</si>
  <si>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</si>
  <si>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</si>
  <si>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</si>
  <si>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</si>
  <si>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</si>
  <si>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</si>
  <si>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</si>
  <si>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</si>
  <si>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</si>
  <si>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</si>
  <si>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</si>
  <si>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</si>
  <si>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</si>
  <si>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</si>
  <si>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</si>
  <si>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</si>
  <si>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</si>
  <si>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</si>
  <si>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</si>
  <si>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</si>
  <si>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</si>
  <si>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</si>
  <si>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</si>
  <si>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</si>
  <si>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</si>
  <si>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</si>
  <si>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</si>
  <si>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</si>
  <si>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</si>
  <si>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</si>
  <si>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</si>
  <si>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</si>
  <si>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</si>
  <si>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</si>
  <si>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</si>
  <si>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</si>
  <si>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</si>
  <si>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</si>
  <si>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</si>
  <si>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</si>
  <si>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</si>
  <si>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</si>
  <si>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</si>
  <si>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</si>
  <si>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</si>
  <si>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</si>
  <si>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</si>
  <si>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</si>
  <si>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</si>
  <si>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</si>
  <si>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</si>
  <si>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</si>
  <si>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</si>
  <si>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</si>
  <si>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</si>
  <si>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</si>
  <si>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</si>
  <si>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</si>
  <si>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</si>
  <si>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</si>
  <si>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</si>
  <si>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</si>
  <si>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</si>
  <si>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</si>
  <si>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</si>
  <si>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</si>
  <si>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</si>
  <si>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</si>
  <si>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</si>
  <si>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</si>
  <si>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</si>
  <si>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</si>
  <si>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</si>
  <si>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</si>
  <si>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</si>
  <si>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</si>
  <si>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</si>
  <si>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</si>
  <si>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</si>
  <si>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</si>
  <si>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</si>
  <si>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</si>
  <si>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</si>
  <si>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</si>
  <si>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</si>
  <si>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</si>
  <si>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</si>
  <si>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</si>
  <si>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</si>
  <si>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</si>
  <si>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</si>
  <si>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</si>
  <si>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</si>
  <si>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</si>
  <si>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</si>
  <si>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</si>
  <si>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</si>
  <si>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</si>
  <si>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</si>
  <si>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</si>
  <si>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</si>
  <si>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</si>
  <si>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</si>
  <si>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</si>
  <si>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</si>
  <si>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</si>
  <si>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</si>
  <si>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</si>
  <si>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</si>
  <si>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</si>
  <si>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</si>
  <si>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</si>
  <si>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</si>
  <si>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</si>
  <si>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</si>
  <si>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</si>
  <si>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</si>
  <si>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</si>
  <si>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</si>
  <si>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</si>
  <si>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</si>
  <si>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</si>
  <si>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</si>
  <si>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</si>
  <si>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</si>
  <si>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</si>
  <si>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</si>
  <si>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</si>
  <si>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</si>
  <si>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</si>
  <si>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</si>
  <si>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</si>
  <si>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</si>
  <si>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</si>
  <si>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</si>
  <si>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</si>
  <si>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</si>
  <si>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</si>
  <si>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</si>
  <si>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</si>
  <si>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</si>
  <si>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</si>
  <si>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</si>
  <si>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</si>
  <si>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</si>
  <si>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</si>
  <si>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</si>
  <si>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</si>
  <si>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</si>
  <si>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</si>
  <si>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</si>
  <si>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</si>
  <si>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</si>
  <si>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</si>
  <si>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</si>
  <si>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</si>
  <si>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</si>
  <si>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</si>
  <si>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</si>
  <si>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</si>
  <si>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</si>
  <si>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</si>
  <si>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</si>
  <si>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</si>
  <si>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</si>
  <si>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</si>
  <si>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</si>
  <si>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</si>
  <si>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</si>
  <si>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</si>
  <si>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</si>
  <si>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</si>
  <si>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</si>
  <si>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</si>
  <si>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</si>
  <si>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</si>
  <si>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</si>
  <si>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</si>
  <si>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</si>
  <si>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</si>
  <si>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</si>
  <si>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</si>
  <si>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</si>
  <si>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</si>
  <si>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</si>
  <si>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</si>
  <si>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</si>
  <si>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</si>
  <si>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</si>
  <si>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</si>
  <si>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</si>
  <si>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</si>
  <si>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</si>
  <si>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</si>
  <si>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</si>
  <si>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</si>
  <si>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</si>
  <si>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</si>
  <si>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</si>
  <si>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</si>
  <si>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</si>
  <si>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</si>
  <si>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</si>
  <si>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</si>
  <si>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</si>
  <si>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</si>
  <si>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</si>
  <si>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</si>
  <si>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</si>
  <si>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</si>
  <si>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</si>
  <si>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</si>
  <si>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</si>
  <si>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</si>
  <si>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</si>
  <si>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</si>
  <si>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</si>
  <si>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</si>
  <si>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</si>
  <si>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</si>
  <si>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</si>
  <si>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</si>
  <si>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</si>
  <si>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</si>
  <si>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</si>
  <si>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</si>
  <si>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</si>
  <si>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</si>
  <si>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</si>
  <si>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</si>
  <si>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</si>
  <si>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</si>
  <si>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</si>
  <si>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</si>
  <si>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</si>
  <si>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</si>
  <si>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</si>
  <si>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</si>
  <si>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</si>
  <si>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</si>
  <si>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</si>
  <si>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</si>
  <si>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</si>
  <si>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</si>
  <si>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</si>
  <si>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</si>
  <si>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</si>
  <si>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</si>
  <si>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</si>
  <si>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</si>
  <si>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</si>
  <si>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</si>
  <si>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</si>
  <si>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</si>
  <si>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</si>
  <si>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</si>
  <si>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</si>
  <si>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</si>
  <si>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</si>
  <si>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</si>
  <si>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</si>
  <si>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</si>
  <si>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</si>
  <si>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</si>
  <si>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</si>
  <si>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</si>
  <si>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</si>
  <si>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</si>
  <si>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</si>
  <si>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</si>
  <si>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</si>
  <si>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</si>
  <si>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</si>
  <si>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</si>
  <si>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</si>
  <si>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</si>
  <si>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</si>
  <si>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</si>
  <si>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</si>
  <si>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</si>
  <si>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</si>
  <si>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</si>
  <si>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</si>
  <si>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</si>
  <si>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</si>
  <si>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</si>
  <si>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</si>
  <si>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</si>
  <si>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</si>
  <si>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</si>
  <si>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</si>
  <si>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</si>
  <si>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</si>
  <si>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</si>
  <si>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</si>
  <si>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</si>
  <si>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</si>
  <si>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</si>
  <si>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</si>
  <si>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</si>
  <si>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</si>
  <si>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</si>
  <si>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</si>
  <si>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</si>
  <si>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</si>
  <si>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</si>
  <si>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</si>
  <si>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</si>
  <si>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</si>
  <si>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</si>
  <si>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</si>
  <si>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</si>
  <si>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</si>
  <si>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</si>
  <si>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</si>
  <si>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</si>
  <si>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</si>
  <si>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</si>
  <si>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</si>
  <si>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</si>
  <si>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</si>
  <si>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</si>
  <si>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</si>
  <si>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</si>
  <si>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</si>
  <si>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</si>
  <si>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</si>
  <si>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</si>
  <si>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</si>
  <si>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</si>
  <si>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</si>
  <si>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</si>
  <si>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</si>
  <si>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</si>
  <si>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</si>
  <si>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</si>
  <si>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</si>
  <si>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</si>
  <si>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</si>
  <si>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</si>
  <si>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</si>
  <si>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</si>
  <si>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</si>
  <si>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</si>
  <si>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</si>
  <si>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</si>
  <si>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</si>
  <si>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</si>
  <si>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</si>
  <si>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</si>
  <si>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</si>
  <si>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</si>
  <si>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</si>
  <si>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</si>
  <si>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</si>
  <si>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</si>
  <si>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</si>
  <si>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</si>
  <si>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</si>
  <si>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</si>
  <si>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</si>
  <si>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</si>
  <si>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</si>
  <si>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</si>
  <si>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</si>
  <si>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</si>
  <si>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</si>
  <si>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</si>
  <si>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</si>
  <si>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</si>
  <si>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</si>
  <si>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</si>
  <si>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</si>
  <si>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</si>
  <si>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</si>
  <si>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</si>
  <si>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</si>
  <si>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</si>
  <si>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</si>
  <si>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</si>
  <si>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</si>
  <si>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</si>
  <si>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</si>
  <si>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</si>
  <si>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</si>
  <si>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</si>
  <si>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</si>
  <si>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</si>
  <si>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</si>
  <si>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</si>
  <si>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</si>
  <si>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</si>
  <si>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</si>
  <si>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</si>
  <si>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</si>
  <si>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</si>
  <si>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</si>
  <si>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</si>
  <si>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</si>
  <si>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</si>
  <si>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</si>
  <si>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</si>
  <si>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</si>
  <si>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</si>
  <si>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</si>
  <si>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</si>
  <si>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</si>
  <si>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</si>
  <si>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</si>
  <si>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</si>
  <si>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</si>
  <si>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</si>
  <si>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</si>
  <si>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</si>
  <si>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</si>
  <si>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</si>
  <si>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</si>
  <si>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</si>
  <si>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</si>
  <si>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</si>
  <si>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</si>
  <si>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</si>
  <si>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</si>
  <si>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</si>
  <si>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</si>
  <si>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</si>
  <si>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</si>
  <si>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</si>
  <si>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</si>
  <si>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</si>
  <si>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</si>
  <si>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</si>
  <si>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</si>
  <si>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</si>
  <si>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</si>
  <si>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</si>
  <si>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</si>
  <si>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</si>
  <si>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</si>
  <si>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</si>
  <si>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</si>
  <si>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</si>
  <si>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</si>
  <si>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</si>
  <si>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</si>
  <si>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</si>
  <si>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</si>
  <si>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</si>
  <si>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</si>
  <si>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</si>
  <si>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</si>
  <si>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</si>
  <si>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</si>
  <si>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</si>
  <si>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</si>
  <si>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</si>
  <si>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</si>
  <si>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</si>
  <si>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</si>
  <si>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</si>
  <si>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</si>
  <si>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</si>
  <si>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</si>
  <si>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</si>
  <si>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</si>
  <si>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</si>
  <si>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</si>
  <si>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</si>
  <si>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</si>
  <si>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</si>
  <si>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</si>
  <si>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</si>
  <si>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</si>
  <si>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</si>
  <si>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</si>
  <si>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</si>
  <si>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</si>
  <si>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</si>
  <si>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</si>
  <si>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</si>
  <si>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</si>
  <si>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</si>
  <si>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</si>
  <si>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</si>
  <si>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</si>
  <si>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</si>
  <si>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</si>
  <si>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</si>
  <si>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</si>
  <si>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</si>
  <si>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</si>
  <si>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</si>
  <si>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</si>
  <si>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</si>
  <si>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</si>
  <si>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</si>
  <si>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</si>
  <si>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</si>
  <si>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</si>
  <si>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</si>
  <si>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</si>
  <si>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</si>
  <si>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</si>
  <si>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</si>
  <si>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</si>
  <si>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</si>
  <si>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</si>
  <si>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</si>
  <si>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</si>
  <si>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</si>
  <si>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</si>
  <si>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</si>
  <si>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</si>
  <si>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</si>
  <si>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</si>
  <si>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</si>
  <si>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</si>
  <si>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</si>
  <si>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</si>
  <si>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</si>
  <si>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</si>
  <si>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</si>
  <si>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</si>
  <si>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</si>
  <si>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</si>
  <si>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</si>
  <si>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</si>
  <si>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</si>
  <si>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</si>
  <si>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</si>
  <si>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</si>
  <si>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</si>
  <si>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</si>
  <si>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</si>
  <si>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</si>
  <si>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</si>
  <si>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</si>
  <si>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</si>
  <si>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</si>
  <si>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Cornell Dubilier Electronics</t>
  </si>
  <si>
    <t>002148989</t>
  </si>
  <si>
    <t>DUNS</t>
  </si>
  <si>
    <t>140 Technology Place, Liberty, South Carolina, USA, 29657</t>
  </si>
  <si>
    <t>Stephen Smitth</t>
  </si>
  <si>
    <t>compliance@cde.com</t>
  </si>
  <si>
    <t>864-843-2277</t>
  </si>
  <si>
    <t>Corporate Product Compliance Offier</t>
  </si>
  <si>
    <t>RJD Series</t>
  </si>
  <si>
    <t>RJD Supercapacitor</t>
  </si>
  <si>
    <t>Lithium Cobalt Dioxide(LiCoO2)</t>
  </si>
  <si>
    <t>One product series contains cobalt, type RJD supercapacitors</t>
  </si>
  <si>
    <t>We do not directly source cobalt. One of our product series contains cobalt in the form of Lithium Cobalt Dioxide(LiCoO2)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</si>
</sst>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2.4"/>
  <cols>
    <col min="1" max="1" width="0.87890625" style="102" customWidth="1"/>
    <col min="2" max="2" width="10.05859375" style="102" customWidth="1"/>
    <col min="3" max="3" width="11.46875" style="102" customWidth="1"/>
    <col min="4" max="4" width="17.05859375" style="191" customWidth="1"/>
    <col min="5" max="5" width="42.29296875" style="102" customWidth="1"/>
    <col min="6" max="6" width="53.29296875" style="102" customWidth="1"/>
    <col min="7" max="7" width="0.87890625" style="102" customWidth="1"/>
    <col min="8" max="16384" width="11" style="102"/>
  </cols>
  <sheetData>
    <row r="1" spans="1:7" ht="12.7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4.6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56.25">
      <c r="A14" s="338"/>
      <c r="B14" s="228">
        <v>1.1000000000000001</v>
      </c>
      <c r="C14" s="229" t="s">
        <v>11928</v>
      </c>
      <c r="D14" s="252">
        <v>43455</v>
      </c>
      <c r="E14" s="230" t="s">
        <v>12753</v>
      </c>
      <c r="F14" s="230" t="s">
        <v>12527</v>
      </c>
      <c r="G14" s="28"/>
    </row>
    <row r="15" spans="1:7" ht="56.2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2.75" thickBot="1">
      <c r="A18" s="339"/>
      <c r="B18" s="340" t="str">
        <f ca="1">OFFSET(L!$C$1,MATCH("General"&amp;"Cpy",L!$A:$A,0)-1,SL,,)</f>
        <v>© 2020 Responsible Minerals Initiative. All rights reserved.</v>
      </c>
      <c r="C18" s="340"/>
      <c r="D18" s="340"/>
      <c r="E18" s="340"/>
      <c r="F18" s="340"/>
      <c r="G18" s="29"/>
    </row>
    <row r="19" spans="1:7" ht="12.7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4" workbookViewId="0">
      <selection activeCell="B135" sqref="B135"/>
    </sheetView>
  </sheetViews>
  <sheetFormatPr defaultColWidth="8.703125" defaultRowHeight="12.4"/>
  <cols>
    <col min="1" max="1" width="20.46875" style="66" customWidth="1"/>
    <col min="2" max="2" width="57.05859375" style="66" customWidth="1"/>
    <col min="3" max="16384" width="8.70312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534" workbookViewId="0">
      <selection activeCell="B5555" sqref="B5555"/>
    </sheetView>
  </sheetViews>
  <sheetFormatPr defaultRowHeight="12.4"/>
  <cols>
    <col min="2" max="2" width="27.351562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ht="12.75">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890625" defaultRowHeight="12.4"/>
  <cols>
    <col min="1" max="1" width="143" style="231" customWidth="1"/>
    <col min="2" max="2" width="34.87890625" style="231" customWidth="1"/>
    <col min="3" max="3" width="8.87890625" style="231" customWidth="1"/>
    <col min="4" max="16384" width="8.87890625" style="231"/>
  </cols>
  <sheetData>
    <row r="1" spans="1:2" ht="104.1" customHeight="1">
      <c r="A1" s="223" t="str">
        <f ca="1">OFFSET(L!$C$1,MATCH("Instructions"&amp;ADDRESS(ROW(),COLUMN(),4),L!$A:$A,0)-1,SL,,)</f>
        <v>RMI:www.responsiblemineralsinitiative.org/</v>
      </c>
      <c r="B1" s="235"/>
    </row>
    <row r="2" spans="1:2" ht="14.6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29.25">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4.6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8"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17">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8"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3.9">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29.25">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4.65">
      <c r="A73" s="108" t="str">
        <f ca="1">OFFSET(L!$C$1,MATCH("General"&amp;"Cpy",L!$A:$A,0)-1,SL,,)</f>
        <v>© 2020 Responsible Minerals Initiative. All rights reserved.</v>
      </c>
      <c r="B73" s="234"/>
    </row>
    <row r="74" spans="1:2" ht="14.65">
      <c r="A74" s="238" t="s">
        <v>574</v>
      </c>
      <c r="B74" s="234"/>
    </row>
    <row r="75" spans="1:2" ht="1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topLeftCell="B1" workbookViewId="0">
      <pane ySplit="2" topLeftCell="A18" activePane="bottomLeft" state="frozen"/>
      <selection activeCell="B24" sqref="B24:J24"/>
      <selection pane="bottomLeft" activeCell="C7" sqref="C7"/>
    </sheetView>
  </sheetViews>
  <sheetFormatPr defaultColWidth="8.87890625" defaultRowHeight="12.4"/>
  <cols>
    <col min="1" max="1" width="1.703125" style="231" customWidth="1"/>
    <col min="2" max="2" width="35.46875" style="231" customWidth="1"/>
    <col min="3" max="3" width="105.46875" style="231" customWidth="1"/>
    <col min="4" max="5" width="1.703125" style="231" customWidth="1"/>
    <col min="6" max="6" width="52" style="231" customWidth="1"/>
    <col min="7" max="7" width="4.87890625" style="231" customWidth="1"/>
    <col min="8" max="16384" width="8.87890625" style="231"/>
  </cols>
  <sheetData>
    <row r="1" spans="1:8" ht="90.6" customHeight="1" thickTop="1">
      <c r="A1" s="344"/>
      <c r="B1" s="345"/>
      <c r="C1" s="345"/>
      <c r="D1" s="346"/>
    </row>
    <row r="2" spans="1:8" ht="14.65">
      <c r="A2" s="232"/>
      <c r="B2" s="233" t="str">
        <f ca="1">OFFSET(L!$C$1,MATCH("Definitions"&amp;ADDRESS(ROW(),COLUMN(),4),L!$A:$A,0)-1,SL,,)</f>
        <v>ITEM</v>
      </c>
      <c r="C2" s="233" t="str">
        <f ca="1">OFFSET(L!$C$1,MATCH("Definitions"&amp;ADDRESS(ROW(),COLUMN(),4),L!$A:$A,0)-1,SL,,)</f>
        <v>DEFINITION</v>
      </c>
      <c r="D2" s="348"/>
      <c r="E2" s="234"/>
    </row>
    <row r="3" spans="1:8" ht="43.9">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58.5">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0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1.6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87.75">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3.9">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3.150000000000006">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3.9">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02.4">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29.2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58.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87.75">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3.9">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3.150000000000006">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46.25">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31.65">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58.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58.5">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4.65">
      <c r="A21" s="232"/>
      <c r="B21" s="347" t="str">
        <f ca="1">OFFSET(L!$C$1,MATCH("General"&amp;"Cpy",L!$A:$A,0)-1,SL,,)</f>
        <v>© 2020 Responsible Minerals Initiative. All rights reserved.</v>
      </c>
      <c r="C21" s="347"/>
      <c r="D21" s="348"/>
      <c r="E21" s="235"/>
    </row>
    <row r="22" spans="1:5" ht="12.75" thickBot="1">
      <c r="A22" s="236"/>
      <c r="B22" s="237"/>
      <c r="C22" s="237"/>
      <c r="D22" s="349"/>
    </row>
    <row r="23" spans="1:5" ht="12.75" thickTop="1"/>
  </sheetData>
  <sheetProtection algorithmName="SHA-512" hashValue="gYd8G95SSgi7qhf7gNuUMBnJhxXMG5KJR1TZS/U6t7XSKhoTipTytZYuGT7hRFNrjHt+n5TfhD96tTD4y++sqQ==" saltValue="RBnQnzlDhrrgeVQ6gbKCAA=="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2" workbookViewId="0">
      <selection activeCell="D75" sqref="D75:E75"/>
    </sheetView>
  </sheetViews>
  <sheetFormatPr defaultColWidth="8.87890625" defaultRowHeight="12.4"/>
  <cols>
    <col min="1" max="1" width="1.87890625" customWidth="1"/>
    <col min="2" max="2" width="83.05859375" customWidth="1"/>
    <col min="3" max="3" width="1.703125" customWidth="1"/>
    <col min="4" max="5" width="16.703125" customWidth="1"/>
    <col min="6" max="6" width="1.703125" customWidth="1"/>
    <col min="7" max="9" width="16.703125" customWidth="1"/>
    <col min="10" max="10" width="17.87890625" customWidth="1"/>
    <col min="11" max="11" width="3" customWidth="1"/>
    <col min="12" max="12" width="3.703125" style="102" hidden="1" customWidth="1"/>
    <col min="13" max="15" width="4.87890625" style="102" hidden="1" customWidth="1"/>
    <col min="16" max="23" width="9.05859375" hidden="1" customWidth="1"/>
    <col min="24" max="24" width="27.703125" hidden="1" customWidth="1"/>
    <col min="25" max="25" width="8.87890625" hidden="1" customWidth="1"/>
    <col min="26" max="32" width="8.87890625" customWidth="1"/>
  </cols>
  <sheetData>
    <row r="1" spans="1:34" ht="15" thickTop="1">
      <c r="A1" s="370"/>
      <c r="B1" s="371"/>
      <c r="C1" s="371"/>
      <c r="D1" s="371"/>
      <c r="E1" s="371"/>
      <c r="F1" s="371"/>
      <c r="G1" s="371"/>
      <c r="H1" s="371"/>
      <c r="I1" s="371"/>
      <c r="J1" s="371"/>
      <c r="K1" s="37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73" t="str">
        <f ca="1">OFFSET(L!$C$1,MATCH("Declaration"&amp;ADDRESS(ROW(),COLUMN(),4),L!$A:$A,0)-1,SL,,)</f>
        <v>Cobalt Reporting Template (CRT)</v>
      </c>
      <c r="E2" s="374"/>
      <c r="F2" s="374"/>
      <c r="G2" s="374"/>
      <c r="H2" s="374"/>
      <c r="I2" s="374"/>
      <c r="J2" s="37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354"/>
      <c r="F3" s="355"/>
      <c r="G3" s="355"/>
      <c r="H3" s="355"/>
      <c r="I3" s="355"/>
      <c r="J3" s="254" t="s">
        <v>14039</v>
      </c>
      <c r="K3" s="35"/>
      <c r="L3" s="120"/>
      <c r="M3" s="111"/>
      <c r="N3" s="111"/>
      <c r="O3" s="112"/>
      <c r="P3" s="125">
        <f>MATCH($D$3,LN,0)</f>
        <v>1</v>
      </c>
    </row>
    <row r="4" spans="1:34" ht="15">
      <c r="A4" s="33"/>
      <c r="B4" s="379" t="str">
        <f ca="1">OFFSET(L!$C$1,MATCH("Declaration"&amp;ADDRESS(ROW(),COLUMN(),4),L!$A:$A,0)-1,SL,,)</f>
        <v>The purpose of this document is to collect sourcing information on cobalt.</v>
      </c>
      <c r="C4" s="379"/>
      <c r="D4" s="379"/>
      <c r="E4" s="379"/>
      <c r="F4" s="379"/>
      <c r="G4" s="379"/>
      <c r="H4" s="379"/>
      <c r="I4" s="383" t="str">
        <f ca="1">OFFSET(L!$C$1,MATCH("Declaration"&amp;ADDRESS(ROW(),COLUMN(),4),L!$A:$A,0)-1,SL,,)</f>
        <v>Link to Terms &amp; Conditions</v>
      </c>
      <c r="J4" s="383"/>
      <c r="K4" s="35"/>
      <c r="L4" s="122"/>
      <c r="M4" s="111"/>
      <c r="N4" s="111"/>
      <c r="O4" s="112"/>
      <c r="P4" s="7"/>
      <c r="Q4" s="7"/>
      <c r="R4" s="7"/>
      <c r="S4" s="7"/>
      <c r="T4" s="7"/>
      <c r="U4" s="7"/>
      <c r="V4" s="7"/>
      <c r="W4" s="7"/>
      <c r="X4" s="7"/>
      <c r="Y4" s="7"/>
      <c r="Z4" s="7"/>
      <c r="AA4" s="7"/>
      <c r="AB4" s="7"/>
      <c r="AC4" s="7"/>
      <c r="AD4" s="7"/>
      <c r="AE4" s="7"/>
      <c r="AF4" s="7"/>
      <c r="AG4" s="7"/>
      <c r="AH4" s="7"/>
    </row>
    <row r="5" spans="1:34" ht="14.6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29.25">
      <c r="A6" s="33"/>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5"/>
      <c r="L6" s="122" t="s">
        <v>340</v>
      </c>
      <c r="M6" s="111"/>
      <c r="N6" s="111"/>
      <c r="O6" s="112"/>
      <c r="P6" s="7"/>
      <c r="Q6" s="7"/>
      <c r="R6" s="7"/>
      <c r="S6" s="7"/>
      <c r="T6" s="7"/>
      <c r="U6" s="7"/>
      <c r="V6" s="7"/>
      <c r="W6" s="7"/>
      <c r="X6" s="7"/>
      <c r="Y6" s="7"/>
      <c r="Z6" s="7"/>
      <c r="AA6" s="7"/>
      <c r="AB6" s="7"/>
      <c r="AC6" s="7"/>
      <c r="AD6" s="7"/>
      <c r="AE6" s="7"/>
      <c r="AF6" s="7"/>
      <c r="AG6" s="7"/>
      <c r="AH6" s="7"/>
    </row>
    <row r="7" spans="1:34" ht="15">
      <c r="A7" s="33"/>
      <c r="B7" s="384" t="str">
        <f ca="1">OFFSET(L!$C$1,MATCH("Declaration"&amp;ADDRESS(ROW(),COLUMN(),4),L!$A:$A,0)-1,SL,,)</f>
        <v>Company Information</v>
      </c>
      <c r="C7" s="384"/>
      <c r="D7" s="384"/>
      <c r="E7" s="384"/>
      <c r="F7" s="384"/>
      <c r="G7" s="384"/>
      <c r="H7" s="384"/>
      <c r="I7" s="384"/>
      <c r="J7" s="384"/>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76" t="s">
        <v>14040</v>
      </c>
      <c r="E8" s="377"/>
      <c r="F8" s="377"/>
      <c r="G8" s="377"/>
      <c r="H8" s="377"/>
      <c r="I8" s="377"/>
      <c r="J8" s="378"/>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399" t="s">
        <v>385</v>
      </c>
      <c r="E9" s="400"/>
      <c r="F9" s="400"/>
      <c r="G9" s="401"/>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85" t="str">
        <f ca="1">OFFSET(L!$C$1,MATCH("Declaration"&amp;ADDRESS(ROW(),COLUMN(),4)&amp;LEFT($D$9,1),L!$A:$A,0)-1,SL,,)</f>
        <v>Description of Scope:</v>
      </c>
      <c r="C10" s="132"/>
      <c r="D10" s="380" t="s">
        <v>14051</v>
      </c>
      <c r="E10" s="381"/>
      <c r="F10" s="381"/>
      <c r="G10" s="381"/>
      <c r="H10" s="381"/>
      <c r="I10" s="381"/>
      <c r="J10" s="382"/>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86"/>
      <c r="C11" s="132"/>
      <c r="D11" s="387" t="str">
        <f ca="1">IF(D9=Q9,OFFSET(L!$C$1,MATCH("Declaration"&amp;ADDRESS(ROW(),COLUMN(),4),L!$A:$A,0)-1,SL,,),"")</f>
        <v/>
      </c>
      <c r="E11" s="388"/>
      <c r="F11" s="388"/>
      <c r="G11" s="388"/>
      <c r="H11" s="388"/>
      <c r="I11" s="388"/>
      <c r="J11" s="389"/>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67" t="s">
        <v>14041</v>
      </c>
      <c r="E12" s="365"/>
      <c r="F12" s="365"/>
      <c r="G12" s="365"/>
      <c r="H12" s="365"/>
      <c r="I12" s="365"/>
      <c r="J12" s="366"/>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67" t="s">
        <v>14042</v>
      </c>
      <c r="E13" s="365"/>
      <c r="F13" s="365"/>
      <c r="G13" s="365"/>
      <c r="H13" s="365"/>
      <c r="I13" s="365"/>
      <c r="J13" s="366"/>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67" t="s">
        <v>14043</v>
      </c>
      <c r="E14" s="365"/>
      <c r="F14" s="365"/>
      <c r="G14" s="365"/>
      <c r="H14" s="365"/>
      <c r="I14" s="365"/>
      <c r="J14" s="366"/>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67" t="s">
        <v>14044</v>
      </c>
      <c r="E15" s="365"/>
      <c r="F15" s="365"/>
      <c r="G15" s="365"/>
      <c r="H15" s="365"/>
      <c r="I15" s="365"/>
      <c r="J15" s="366"/>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64" t="s">
        <v>14045</v>
      </c>
      <c r="E16" s="365"/>
      <c r="F16" s="365"/>
      <c r="G16" s="365"/>
      <c r="H16" s="365"/>
      <c r="I16" s="365"/>
      <c r="J16" s="366"/>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67" t="s">
        <v>14046</v>
      </c>
      <c r="E17" s="365"/>
      <c r="F17" s="365"/>
      <c r="G17" s="365"/>
      <c r="H17" s="365"/>
      <c r="I17" s="365"/>
      <c r="J17" s="366"/>
      <c r="K17" s="35"/>
      <c r="L17" s="122"/>
      <c r="M17" s="111"/>
      <c r="N17" s="111"/>
      <c r="O17" s="112"/>
      <c r="Q17" s="7"/>
      <c r="R17" s="7"/>
      <c r="S17" s="7"/>
      <c r="T17" s="7"/>
      <c r="U17" s="7"/>
      <c r="V17" s="7"/>
      <c r="W17" s="7"/>
      <c r="X17" s="7"/>
      <c r="Y17" s="7"/>
      <c r="Z17" s="7"/>
      <c r="AA17" s="7"/>
      <c r="AB17" s="7"/>
      <c r="AC17" s="7"/>
      <c r="AD17" s="7"/>
      <c r="AE17" s="7"/>
      <c r="AF17" s="7"/>
      <c r="AG17" s="7"/>
      <c r="AH17" s="7"/>
    </row>
    <row r="18" spans="1:34" ht="22.9">
      <c r="A18" s="37"/>
      <c r="B18" s="39" t="str">
        <f ca="1">OFFSET(L!$C$1,MATCH("Declaration"&amp;ADDRESS(ROW(),COLUMN(),4),L!$A:$A,0)-1,SL,,)</f>
        <v>Authorizer (*):</v>
      </c>
      <c r="C18" s="78"/>
      <c r="D18" s="367" t="s">
        <v>14044</v>
      </c>
      <c r="E18" s="365"/>
      <c r="F18" s="365"/>
      <c r="G18" s="365"/>
      <c r="H18" s="365"/>
      <c r="I18" s="365"/>
      <c r="J18" s="366"/>
      <c r="K18" s="35"/>
      <c r="L18" s="116"/>
      <c r="M18" s="111"/>
      <c r="N18" s="111"/>
      <c r="O18" s="112"/>
      <c r="Q18" s="7"/>
      <c r="R18" s="7"/>
      <c r="S18" s="7"/>
      <c r="T18" s="7"/>
      <c r="U18" s="7"/>
      <c r="V18" s="7"/>
      <c r="W18" s="7"/>
      <c r="X18" s="7"/>
      <c r="Y18" s="7"/>
      <c r="Z18" s="7"/>
      <c r="AA18" s="7"/>
      <c r="AB18" s="7"/>
      <c r="AC18" s="7"/>
      <c r="AD18" s="7"/>
      <c r="AE18" s="7"/>
      <c r="AF18" s="7"/>
      <c r="AG18" s="7"/>
      <c r="AH18" s="7"/>
    </row>
    <row r="19" spans="1:34" ht="22.9">
      <c r="A19" s="37"/>
      <c r="B19" s="39" t="str">
        <f ca="1">OFFSET(L!$C$1,MATCH("Declaration"&amp;ADDRESS(ROW(),COLUMN(),4),L!$A:$A,0)-1,SL,,)</f>
        <v>Title - Authorizer:</v>
      </c>
      <c r="C19" s="78"/>
      <c r="D19" s="367" t="s">
        <v>14047</v>
      </c>
      <c r="E19" s="365"/>
      <c r="F19" s="365"/>
      <c r="G19" s="365"/>
      <c r="H19" s="365"/>
      <c r="I19" s="365"/>
      <c r="J19" s="36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9">
      <c r="A20" s="37"/>
      <c r="B20" s="39" t="str">
        <f ca="1">OFFSET(L!$C$1,MATCH("Declaration"&amp;ADDRESS(ROW(),COLUMN(),4),L!$A:$A,0)-1,SL,,)</f>
        <v>Email - Authorizer (*):</v>
      </c>
      <c r="C20" s="78"/>
      <c r="D20" s="364" t="s">
        <v>14045</v>
      </c>
      <c r="E20" s="365"/>
      <c r="F20" s="365"/>
      <c r="G20" s="365"/>
      <c r="H20" s="365"/>
      <c r="I20" s="365"/>
      <c r="J20" s="36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 (*):</v>
      </c>
      <c r="C21" s="144"/>
      <c r="D21" s="367" t="s">
        <v>14046</v>
      </c>
      <c r="E21" s="365"/>
      <c r="F21" s="365"/>
      <c r="G21" s="365"/>
      <c r="H21" s="365"/>
      <c r="I21" s="365"/>
      <c r="J21" s="36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649999999999999">
      <c r="A22" s="37"/>
      <c r="B22" s="39" t="str">
        <f ca="1">OFFSET(L!$C$1,MATCH("Declaration"&amp;ADDRESS(ROW(),COLUMN(),4),L!$A:$A,0)-1,SL,,)</f>
        <v>Effective Date (*):</v>
      </c>
      <c r="C22" s="79"/>
      <c r="D22" s="402">
        <v>44060</v>
      </c>
      <c r="E22" s="403"/>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649999999999999">
      <c r="A23" s="40"/>
      <c r="B23" s="80"/>
      <c r="C23" s="15"/>
      <c r="D23" s="398"/>
      <c r="E23" s="39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50" t="str">
        <f ca="1">OFFSET(L!$C$1,MATCH("Declaration"&amp;ADDRESS(ROW(),COLUMN(),4),L!$A:$A,0)-1,SL,,)</f>
        <v>Answer the following questions 1 - 6 based on the declaration scope indicated above</v>
      </c>
      <c r="C24" s="350"/>
      <c r="D24" s="350"/>
      <c r="E24" s="350"/>
      <c r="F24" s="350"/>
      <c r="G24" s="350"/>
      <c r="H24" s="350"/>
      <c r="I24" s="350"/>
      <c r="J24" s="35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4.25">
      <c r="A25" s="40"/>
      <c r="B25" s="43" t="str">
        <f ca="1">OFFSET(L!$C$1,MATCH("Declaration"&amp;ADDRESS(ROW(),COLUMN(),4),L!$A:$A,0)-1,SL,,)</f>
        <v xml:space="preserve">1) Is any of the cobalt intentionally added or used in the product(s) or in the production process? </v>
      </c>
      <c r="C25" s="15"/>
      <c r="D25" s="395" t="str">
        <f ca="1">OFFSET(L!$C$1,MATCH("Declaration"&amp;ADDRESS(ROW(),COLUMN(),4),L!$A:$A,0)-1,SL,,)</f>
        <v>Answer</v>
      </c>
      <c r="E25" s="395"/>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9">
      <c r="A26" s="40"/>
      <c r="B26" s="39" t="str">
        <f ca="1">OFFSET(L!$C$1,MATCH("Declaration"&amp;ADDRESS(ROW(),COLUMN(),4),L!$A:$A,0)-1,SL,,)&amp;P26</f>
        <v>Cobalt(*)</v>
      </c>
      <c r="C26" s="34"/>
      <c r="D26" s="362" t="s">
        <v>379</v>
      </c>
      <c r="E26" s="363"/>
      <c r="F26" s="10"/>
      <c r="G26" s="351" t="s">
        <v>14052</v>
      </c>
      <c r="H26" s="352"/>
      <c r="I26" s="352"/>
      <c r="J26" s="35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9" hidden="1">
      <c r="A27" s="40"/>
      <c r="B27" s="39" t="str">
        <f ca="1">OFFSET(L!$C$1,MATCH("Declaration"&amp;ADDRESS(ROW(),COLUMN(),4),L!$A:$A,0)-1,SL,,)&amp;P27</f>
        <v/>
      </c>
      <c r="C27" s="34"/>
      <c r="D27" s="356" t="s">
        <v>380</v>
      </c>
      <c r="E27" s="357"/>
      <c r="F27" s="10"/>
      <c r="G27" s="351"/>
      <c r="H27" s="352"/>
      <c r="I27" s="352"/>
      <c r="J27" s="35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9" hidden="1">
      <c r="A28" s="40"/>
      <c r="B28" s="39" t="str">
        <f ca="1">OFFSET(L!$C$1,MATCH("Declaration"&amp;ADDRESS(ROW(),COLUMN(),4),L!$A:$A,0)-1,SL,,)&amp;P28</f>
        <v/>
      </c>
      <c r="C28" s="34"/>
      <c r="D28" s="356" t="s">
        <v>380</v>
      </c>
      <c r="E28" s="357"/>
      <c r="F28" s="10"/>
      <c r="G28" s="351"/>
      <c r="H28" s="352"/>
      <c r="I28" s="352"/>
      <c r="J28" s="35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9" hidden="1">
      <c r="A29" s="40"/>
      <c r="B29" s="39" t="str">
        <f ca="1">OFFSET(L!$C$1,MATCH("Declaration"&amp;ADDRESS(ROW(),COLUMN(),4),L!$A:$A,0)-1,SL,,)&amp;P29</f>
        <v/>
      </c>
      <c r="C29" s="34"/>
      <c r="D29" s="356" t="s">
        <v>380</v>
      </c>
      <c r="E29" s="357"/>
      <c r="F29" s="10"/>
      <c r="G29" s="351"/>
      <c r="H29" s="352"/>
      <c r="I29" s="352"/>
      <c r="J29" s="35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649999999999999">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69" t="str">
        <f ca="1">D25</f>
        <v>Answer</v>
      </c>
      <c r="E31" s="369"/>
      <c r="F31" s="16"/>
      <c r="G31" s="43" t="str">
        <f ca="1">G25</f>
        <v>Comments</v>
      </c>
      <c r="H31" s="397"/>
      <c r="I31" s="397"/>
      <c r="J31" s="397"/>
      <c r="K31" s="35"/>
      <c r="L31" s="117" t="s">
        <v>707</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9">
      <c r="A32" s="40"/>
      <c r="B32" s="39" t="str">
        <f ca="1">OFFSET(L!$C$1,MATCH("Declaration"&amp;ADDRESS(ROW(),COLUMN(),4),L!$A:$A,0)-1,SL,,)&amp;P32</f>
        <v>Cobalt(*)</v>
      </c>
      <c r="C32" s="8"/>
      <c r="D32" s="362" t="s">
        <v>380</v>
      </c>
      <c r="E32" s="363"/>
      <c r="F32" s="46"/>
      <c r="G32" s="351"/>
      <c r="H32" s="352"/>
      <c r="I32" s="352"/>
      <c r="J32" s="35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9" hidden="1">
      <c r="A33" s="40"/>
      <c r="B33" s="39">
        <f ca="1">OFFSET(L!$C$1,MATCH("Declaration"&amp;ADDRESS(ROW(),COLUMN(),4),L!$A:$A,0)-1,SL,,)</f>
        <v>0</v>
      </c>
      <c r="C33" s="8"/>
      <c r="D33" s="356"/>
      <c r="E33" s="357"/>
      <c r="F33" s="46"/>
      <c r="G33" s="351"/>
      <c r="H33" s="352"/>
      <c r="I33" s="352"/>
      <c r="J33" s="35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9" hidden="1">
      <c r="A34" s="40"/>
      <c r="B34" s="39">
        <f ca="1">OFFSET(L!$C$1,MATCH("Declaration"&amp;ADDRESS(ROW(),COLUMN(),4),L!$A:$A,0)-1,SL,,)</f>
        <v>0</v>
      </c>
      <c r="C34" s="8"/>
      <c r="D34" s="362"/>
      <c r="E34" s="363"/>
      <c r="F34" s="46"/>
      <c r="G34" s="351"/>
      <c r="H34" s="352"/>
      <c r="I34" s="352"/>
      <c r="J34" s="35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9" hidden="1">
      <c r="A35" s="40"/>
      <c r="B35" s="39">
        <f ca="1">OFFSET(L!$C$1,MATCH("Declaration"&amp;ADDRESS(ROW(),COLUMN(),4),L!$A:$A,0)-1,SL,,)</f>
        <v>0</v>
      </c>
      <c r="C35" s="8"/>
      <c r="D35" s="362"/>
      <c r="E35" s="363"/>
      <c r="F35" s="46"/>
      <c r="G35" s="351"/>
      <c r="H35" s="352"/>
      <c r="I35" s="352"/>
      <c r="J35" s="35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64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369" t="str">
        <f ca="1">D25</f>
        <v>Answer</v>
      </c>
      <c r="E37" s="369"/>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9">
      <c r="A38" s="40"/>
      <c r="B38" s="39" t="str">
        <f ca="1">B32</f>
        <v>Cobalt(*)</v>
      </c>
      <c r="C38" s="8"/>
      <c r="D38" s="362" t="s">
        <v>381</v>
      </c>
      <c r="E38" s="363"/>
      <c r="F38" s="46"/>
      <c r="G38" s="351"/>
      <c r="H38" s="352"/>
      <c r="I38" s="352"/>
      <c r="J38" s="35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9" hidden="1">
      <c r="A39" s="40"/>
      <c r="B39" s="39">
        <f ca="1">B33</f>
        <v>0</v>
      </c>
      <c r="C39" s="8"/>
      <c r="D39" s="356"/>
      <c r="E39" s="357"/>
      <c r="F39" s="46"/>
      <c r="G39" s="351"/>
      <c r="H39" s="352"/>
      <c r="I39" s="352"/>
      <c r="J39" s="35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9" hidden="1">
      <c r="A40" s="40"/>
      <c r="B40" s="39">
        <f ca="1">B34</f>
        <v>0</v>
      </c>
      <c r="C40" s="8"/>
      <c r="D40" s="356"/>
      <c r="E40" s="357"/>
      <c r="F40" s="46"/>
      <c r="G40" s="351"/>
      <c r="H40" s="352"/>
      <c r="I40" s="352"/>
      <c r="J40" s="35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9" hidden="1">
      <c r="A41" s="40"/>
      <c r="B41" s="39">
        <f ca="1">B35</f>
        <v>0</v>
      </c>
      <c r="C41" s="8"/>
      <c r="D41" s="356"/>
      <c r="E41" s="357"/>
      <c r="F41" s="46"/>
      <c r="G41" s="351"/>
      <c r="H41" s="352"/>
      <c r="I41" s="352"/>
      <c r="J41" s="35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64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69" t="str">
        <f ca="1">D25</f>
        <v>Answer</v>
      </c>
      <c r="E43" s="369"/>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9">
      <c r="A44" s="40"/>
      <c r="B44" s="39" t="str">
        <f ca="1">B32</f>
        <v>Cobalt(*)</v>
      </c>
      <c r="C44" s="34"/>
      <c r="D44" s="360">
        <v>1</v>
      </c>
      <c r="E44" s="361"/>
      <c r="F44" s="46"/>
      <c r="G44" s="351"/>
      <c r="H44" s="352"/>
      <c r="I44" s="352"/>
      <c r="J44" s="35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9" hidden="1">
      <c r="A45" s="40"/>
      <c r="B45" s="39">
        <f ca="1">B33</f>
        <v>0</v>
      </c>
      <c r="C45" s="34"/>
      <c r="D45" s="358"/>
      <c r="E45" s="359"/>
      <c r="F45" s="46"/>
      <c r="G45" s="351"/>
      <c r="H45" s="352"/>
      <c r="I45" s="352"/>
      <c r="J45" s="35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9" hidden="1">
      <c r="A46" s="40"/>
      <c r="B46" s="39">
        <f ca="1">B34</f>
        <v>0</v>
      </c>
      <c r="C46" s="34"/>
      <c r="D46" s="358"/>
      <c r="E46" s="359"/>
      <c r="F46" s="46"/>
      <c r="G46" s="351"/>
      <c r="H46" s="352"/>
      <c r="I46" s="352"/>
      <c r="J46" s="35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9" hidden="1">
      <c r="A47" s="40"/>
      <c r="B47" s="39">
        <f ca="1">B35</f>
        <v>0</v>
      </c>
      <c r="C47" s="34"/>
      <c r="D47" s="358"/>
      <c r="E47" s="359"/>
      <c r="F47" s="46"/>
      <c r="G47" s="351"/>
      <c r="H47" s="352"/>
      <c r="I47" s="352"/>
      <c r="J47" s="35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
      <c r="A49" s="40"/>
      <c r="B49" s="142" t="str">
        <f ca="1">OFFSET(L!$C$1,MATCH("Declaration"&amp;ADDRESS(ROW(),COLUMN(),4),L!$A:$A,0)-1,SL,,)&amp;Q31</f>
        <v>5) Have you identified all of the smelters supplying the cobalt to your supply chain? (*)</v>
      </c>
      <c r="C49" s="8"/>
      <c r="D49" s="369" t="str">
        <f ca="1">D25</f>
        <v>Answer</v>
      </c>
      <c r="E49" s="369"/>
      <c r="F49" s="16"/>
      <c r="G49" s="43" t="str">
        <f ca="1">G25</f>
        <v>Comments</v>
      </c>
      <c r="H49" s="368"/>
      <c r="I49" s="368"/>
      <c r="J49" s="368"/>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9">
      <c r="A50" s="40"/>
      <c r="B50" s="39" t="str">
        <f ca="1">B32</f>
        <v>Cobalt(*)</v>
      </c>
      <c r="C50" s="8"/>
      <c r="D50" s="390" t="s">
        <v>379</v>
      </c>
      <c r="E50" s="391"/>
      <c r="F50" s="46"/>
      <c r="G50" s="351"/>
      <c r="H50" s="352"/>
      <c r="I50" s="352"/>
      <c r="J50" s="35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9" hidden="1">
      <c r="A51" s="40"/>
      <c r="B51" s="39">
        <f ca="1">B33</f>
        <v>0</v>
      </c>
      <c r="C51" s="8"/>
      <c r="D51" s="356"/>
      <c r="E51" s="357"/>
      <c r="F51" s="46"/>
      <c r="G51" s="351"/>
      <c r="H51" s="352"/>
      <c r="I51" s="352"/>
      <c r="J51" s="35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9" hidden="1">
      <c r="A52" s="40"/>
      <c r="B52" s="39">
        <f ca="1">B34</f>
        <v>0</v>
      </c>
      <c r="C52" s="8"/>
      <c r="D52" s="356"/>
      <c r="E52" s="357"/>
      <c r="F52" s="46"/>
      <c r="G52" s="351"/>
      <c r="H52" s="352"/>
      <c r="I52" s="352"/>
      <c r="J52" s="35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9" hidden="1">
      <c r="A53" s="40"/>
      <c r="B53" s="39">
        <f ca="1">B35</f>
        <v>0</v>
      </c>
      <c r="C53" s="8"/>
      <c r="D53" s="356"/>
      <c r="E53" s="357"/>
      <c r="F53" s="46"/>
      <c r="G53" s="351"/>
      <c r="H53" s="352"/>
      <c r="I53" s="352"/>
      <c r="J53" s="35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
      <c r="A55" s="40"/>
      <c r="B55" s="43" t="str">
        <f ca="1">OFFSET(L!$C$1,MATCH("Declaration"&amp;ADDRESS(ROW(),COLUMN(),4),L!$A:$A,0)-1,SL,,)&amp;Q31</f>
        <v>6) Has all applicable smelter information received by your company been reported in this declaration? (*)</v>
      </c>
      <c r="C55" s="8"/>
      <c r="D55" s="369" t="str">
        <f ca="1">D25</f>
        <v>Answer</v>
      </c>
      <c r="E55" s="369"/>
      <c r="F55" s="16"/>
      <c r="G55" s="43" t="str">
        <f ca="1">G25</f>
        <v>Comments</v>
      </c>
      <c r="H55" s="368" t="str">
        <f>IF(Q63="(*)","Click here to enter smelter names","")</f>
        <v/>
      </c>
      <c r="I55" s="368"/>
      <c r="J55" s="368"/>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9">
      <c r="A56" s="40"/>
      <c r="B56" s="39" t="str">
        <f ca="1">B32</f>
        <v>Cobalt(*)</v>
      </c>
      <c r="C56" s="34"/>
      <c r="D56" s="362" t="s">
        <v>379</v>
      </c>
      <c r="E56" s="363"/>
      <c r="F56" s="47"/>
      <c r="G56" s="351"/>
      <c r="H56" s="352"/>
      <c r="I56" s="352"/>
      <c r="J56" s="35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9" hidden="1">
      <c r="A57" s="40"/>
      <c r="B57" s="39">
        <f ca="1">B33</f>
        <v>0</v>
      </c>
      <c r="C57" s="34"/>
      <c r="D57" s="356"/>
      <c r="E57" s="357"/>
      <c r="F57" s="47"/>
      <c r="G57" s="351"/>
      <c r="H57" s="352"/>
      <c r="I57" s="352"/>
      <c r="J57" s="35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9" hidden="1">
      <c r="A58" s="40"/>
      <c r="B58" s="39">
        <f ca="1">B34</f>
        <v>0</v>
      </c>
      <c r="C58" s="34"/>
      <c r="D58" s="356"/>
      <c r="E58" s="357"/>
      <c r="F58" s="47"/>
      <c r="G58" s="351"/>
      <c r="H58" s="352"/>
      <c r="I58" s="352"/>
      <c r="J58" s="35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9" hidden="1">
      <c r="A59" s="37"/>
      <c r="B59" s="39">
        <f ca="1">B35</f>
        <v>0</v>
      </c>
      <c r="C59" s="48"/>
      <c r="D59" s="356"/>
      <c r="E59" s="357"/>
      <c r="F59" s="49"/>
      <c r="G59" s="351"/>
      <c r="H59" s="352"/>
      <c r="I59" s="352"/>
      <c r="J59" s="35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4.6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4.65">
      <c r="A61" s="40"/>
      <c r="B61" s="407" t="str">
        <f ca="1">OFFSET(L!$C$1,MATCH("Declaration"&amp;ADDRESS(ROW(),COLUMN(),4),L!$A:$A,0)-1,SL,,)</f>
        <v>Answer the Following Questions at a Company Level</v>
      </c>
      <c r="C61" s="407"/>
      <c r="D61" s="407"/>
      <c r="E61" s="407"/>
      <c r="F61" s="407"/>
      <c r="G61" s="407"/>
      <c r="H61" s="407"/>
      <c r="I61" s="407"/>
      <c r="J61" s="40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395" t="str">
        <f ca="1">D25</f>
        <v>Answer</v>
      </c>
      <c r="E62" s="395"/>
      <c r="F62" s="52"/>
      <c r="G62" s="395" t="str">
        <f ca="1">G25</f>
        <v>Comments</v>
      </c>
      <c r="H62" s="395" t="e">
        <f>HLOOKUP(SL,LT,$O62,0)</f>
        <v>#NAME?</v>
      </c>
      <c r="I62" s="39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2" t="s">
        <v>380</v>
      </c>
      <c r="E63" s="363"/>
      <c r="F63" s="56"/>
      <c r="G63" s="351"/>
      <c r="H63" s="352"/>
      <c r="I63" s="352"/>
      <c r="J63" s="353"/>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396"/>
      <c r="H64" s="396"/>
      <c r="I64" s="396"/>
      <c r="J64" s="39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2" t="s">
        <v>379</v>
      </c>
      <c r="E65" s="363"/>
      <c r="F65" s="56"/>
      <c r="G65" s="392"/>
      <c r="H65" s="393"/>
      <c r="I65" s="393"/>
      <c r="J65" s="394"/>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25" customHeight="1">
      <c r="A67" s="40"/>
      <c r="B67" s="55" t="str">
        <f ca="1">OFFSET(L!$C$1,MATCH("Declaration"&amp;ADDRESS(ROW(),COLUMN(),4),L!$A:$A,0)-1,SL,,)&amp;P32</f>
        <v>C. Have you implemented due diligence measures for cobalt in the declaration scope indicated above? (*)</v>
      </c>
      <c r="C67" s="56"/>
      <c r="D67" s="362" t="s">
        <v>379</v>
      </c>
      <c r="E67" s="363"/>
      <c r="F67" s="56"/>
      <c r="G67" s="351"/>
      <c r="H67" s="352"/>
      <c r="I67" s="352"/>
      <c r="J67" s="353"/>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362" t="s">
        <v>380</v>
      </c>
      <c r="E69" s="363"/>
      <c r="F69" s="56"/>
      <c r="G69" s="351"/>
      <c r="H69" s="352"/>
      <c r="I69" s="352"/>
      <c r="J69" s="353"/>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2" t="s">
        <v>379</v>
      </c>
      <c r="E71" s="363"/>
      <c r="F71" s="56"/>
      <c r="G71" s="351"/>
      <c r="H71" s="352"/>
      <c r="I71" s="352"/>
      <c r="J71" s="353"/>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4.6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8"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08" t="s">
        <v>379</v>
      </c>
      <c r="E73" s="409"/>
      <c r="F73" s="56"/>
      <c r="G73" s="351"/>
      <c r="H73" s="352"/>
      <c r="I73" s="352"/>
      <c r="J73" s="353"/>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
      <c r="A74" s="40"/>
      <c r="B74" s="60"/>
      <c r="C74" s="10"/>
      <c r="D74" s="1"/>
      <c r="E74" s="1"/>
      <c r="F74" s="11"/>
      <c r="G74" s="396"/>
      <c r="H74" s="396"/>
      <c r="I74" s="396"/>
      <c r="J74" s="39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362" t="s">
        <v>12594</v>
      </c>
      <c r="E75" s="363"/>
      <c r="F75" s="56"/>
      <c r="G75" s="351"/>
      <c r="H75" s="352"/>
      <c r="I75" s="352"/>
      <c r="J75" s="353"/>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
      <c r="A76" s="40"/>
      <c r="B76" s="57"/>
      <c r="C76" s="10"/>
      <c r="D76" s="1"/>
      <c r="E76" s="1"/>
      <c r="F76" s="11"/>
      <c r="G76" s="410"/>
      <c r="H76" s="410"/>
      <c r="I76" s="410"/>
      <c r="J76" s="41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62" t="s">
        <v>380</v>
      </c>
      <c r="E77" s="363"/>
      <c r="F77" s="56"/>
      <c r="G77" s="351"/>
      <c r="H77" s="352"/>
      <c r="I77" s="352"/>
      <c r="J77" s="353"/>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4.6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362" t="s">
        <v>380</v>
      </c>
      <c r="E79" s="363"/>
      <c r="F79" s="56"/>
      <c r="G79" s="351"/>
      <c r="H79" s="352"/>
      <c r="I79" s="352"/>
      <c r="J79" s="353"/>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4.65">
      <c r="A80" s="40"/>
      <c r="B80" s="406" t="str">
        <f>IF(OR($D$8="",$I$3=""),"","Click here to check required fields completion")</f>
        <v/>
      </c>
      <c r="C80" s="406"/>
      <c r="D80" s="406"/>
      <c r="E80" s="406"/>
      <c r="F80" s="406"/>
      <c r="G80" s="406"/>
      <c r="H80" s="406"/>
      <c r="I80" s="406"/>
      <c r="J80" s="40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 thickBot="1">
      <c r="A81" s="404" t="str">
        <f ca="1">OFFSET(L!$C$1,MATCH("General"&amp;"Cpy",L!$A:$A,0)-1,SL,,)</f>
        <v>© 2020 Responsible Minerals Initiative. All rights reserved.</v>
      </c>
      <c r="B81" s="405"/>
      <c r="C81" s="405"/>
      <c r="D81" s="405"/>
      <c r="E81" s="405"/>
      <c r="F81" s="405"/>
      <c r="G81" s="405"/>
      <c r="H81" s="405"/>
      <c r="I81" s="405"/>
      <c r="J81" s="40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4" t="s">
        <v>379</v>
      </c>
    </row>
    <row r="87" spans="1:34" ht="15" hidden="1">
      <c r="B87" s="224" t="s">
        <v>380</v>
      </c>
    </row>
    <row r="88" spans="1:34" ht="15" hidden="1">
      <c r="B88" s="224" t="s">
        <v>381</v>
      </c>
    </row>
    <row r="89" spans="1:34" ht="15" hidden="1">
      <c r="B89" s="224" t="s">
        <v>12270</v>
      </c>
    </row>
    <row r="90" spans="1:34" ht="15" hidden="1">
      <c r="B90" s="266">
        <v>1</v>
      </c>
    </row>
    <row r="91" spans="1:34" ht="15" hidden="1">
      <c r="B91" s="224" t="s">
        <v>1316</v>
      </c>
    </row>
    <row r="92" spans="1:34" ht="15" hidden="1">
      <c r="B92" s="224" t="s">
        <v>1317</v>
      </c>
      <c r="L92"/>
      <c r="M92"/>
      <c r="N92"/>
      <c r="O92"/>
    </row>
    <row r="93" spans="1:34" ht="15" hidden="1">
      <c r="B93" s="224" t="s">
        <v>1318</v>
      </c>
      <c r="L93"/>
      <c r="M93"/>
      <c r="N93"/>
      <c r="O93"/>
    </row>
    <row r="94" spans="1:34" ht="15" hidden="1">
      <c r="B94" s="224" t="s">
        <v>1319</v>
      </c>
      <c r="L94"/>
      <c r="M94"/>
      <c r="N94"/>
      <c r="O94"/>
    </row>
    <row r="95" spans="1:34" ht="15" hidden="1">
      <c r="B95" s="224" t="s">
        <v>382</v>
      </c>
      <c r="L95"/>
      <c r="M95"/>
      <c r="N95"/>
      <c r="O95"/>
    </row>
    <row r="96" spans="1:34" ht="15" hidden="1">
      <c r="B96" s="224" t="s">
        <v>11379</v>
      </c>
      <c r="L96"/>
      <c r="M96"/>
      <c r="N96"/>
      <c r="O96"/>
    </row>
    <row r="97" spans="2:15" ht="15" hidden="1">
      <c r="B97" s="224" t="s">
        <v>379</v>
      </c>
      <c r="L97"/>
      <c r="M97"/>
      <c r="N97"/>
      <c r="O97"/>
    </row>
    <row r="98" spans="2:15" ht="15" hidden="1">
      <c r="B98" s="224" t="s">
        <v>380</v>
      </c>
      <c r="L98"/>
      <c r="M98"/>
      <c r="N98"/>
      <c r="O98"/>
    </row>
    <row r="99" spans="2:15" ht="15" hidden="1">
      <c r="B99" s="224" t="s">
        <v>12594</v>
      </c>
      <c r="L99"/>
      <c r="M99"/>
      <c r="N99"/>
      <c r="O99"/>
    </row>
    <row r="100" spans="2:15" ht="15" hidden="1">
      <c r="B100" s="224" t="s">
        <v>11691</v>
      </c>
    </row>
    <row r="101" spans="2:15" ht="15" hidden="1">
      <c r="B101" s="224" t="s">
        <v>380</v>
      </c>
    </row>
    <row r="102" spans="2:15" ht="12.75" thickTop="1"/>
  </sheetData>
  <sheetProtection algorithmName="SHA-512" hashValue="f5qnzAf/4zTKTJoheOnNXjR4cGaZYJAyDZlUaSnVyDYSs0GPlxT8JsscbOkhEo2OgYt1OSL7861rII/MLp4bmw==" saltValue="Y8PdZHFkLoptCqYre0li9g=="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A6"/>
    </sheetView>
  </sheetViews>
  <sheetFormatPr defaultColWidth="8.87890625" defaultRowHeight="12.4"/>
  <cols>
    <col min="1" max="1" width="13.703125" style="221" customWidth="1"/>
    <col min="2" max="2" width="13.29296875" style="222" customWidth="1"/>
    <col min="3" max="3" width="40.46875" style="222" customWidth="1"/>
    <col min="4" max="4" width="30.703125" style="222" customWidth="1"/>
    <col min="5" max="5" width="20.87890625" style="222" customWidth="1"/>
    <col min="6" max="7" width="13.87890625" style="222" customWidth="1"/>
    <col min="8" max="8" width="25.05859375" style="222" customWidth="1"/>
    <col min="9" max="9" width="24.05859375" style="222" customWidth="1"/>
    <col min="10" max="10" width="18.29296875" style="222" customWidth="1"/>
    <col min="11" max="11" width="27.29296875" style="222" customWidth="1"/>
    <col min="12" max="12" width="20.703125" style="222" customWidth="1"/>
    <col min="13" max="13" width="35.05859375" style="222" customWidth="1"/>
    <col min="14" max="14" width="42.05859375" style="222" customWidth="1"/>
    <col min="15" max="15" width="32.05859375" style="222" customWidth="1"/>
    <col min="16" max="16" width="22.87890625" style="222" customWidth="1"/>
    <col min="17" max="17" width="43.46875" style="222" customWidth="1"/>
    <col min="18" max="18" width="35.87890625" style="222" hidden="1" customWidth="1"/>
    <col min="19" max="20" width="17.87890625" style="222" hidden="1" customWidth="1"/>
    <col min="21" max="21" width="8.87890625" style="155" hidden="1" customWidth="1"/>
    <col min="22" max="22" width="6.05859375" style="155" hidden="1" customWidth="1"/>
    <col min="23" max="23" width="8.703125" style="155" hidden="1" customWidth="1"/>
    <col min="24" max="24" width="8.87890625" style="155" hidden="1" customWidth="1"/>
    <col min="25" max="26" width="4.29296875" style="155" hidden="1" customWidth="1"/>
    <col min="27" max="27" width="4.29296875" style="222" hidden="1" customWidth="1"/>
    <col min="28" max="28" width="7.87890625" style="222" hidden="1" customWidth="1"/>
    <col min="29" max="33" width="4.29296875" style="222" hidden="1" customWidth="1"/>
    <col min="34" max="34" width="14.46875" style="222" hidden="1" customWidth="1"/>
    <col min="35" max="39" width="8.87890625" style="222" customWidth="1"/>
    <col min="40" max="16384" width="8.87890625" style="222"/>
  </cols>
  <sheetData>
    <row r="1" spans="1:34" s="20" customFormat="1" ht="13.1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75">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1"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t="s">
        <v>12539</v>
      </c>
      <c r="B5" s="192" t="str">
        <f ca="1">IF(LEN(A5)=0,"",INDEX('Smelter Look-up'!$A:$A,MATCH($A5,'Smelter Look-up'!$E:$E,0)))</f>
        <v>Cobalt</v>
      </c>
      <c r="C5" s="198" t="str">
        <f ca="1">IF(LEN(A5)=0,"",INDEX('Smelter Look-up'!$C:$C,MATCH($A5,'Smelter Look-up'!$E:$E,0)))</f>
        <v>Lanzhou Jinchuan Advanced Materials Technology Co., Ltd.</v>
      </c>
      <c r="D5" s="192"/>
      <c r="E5" s="192" t="str">
        <f ca="1">IF(ISERROR($V5),"",OFFSET('Smelter Look-up'!$D$4,$V5-4,0)&amp;"")</f>
        <v>CHINA</v>
      </c>
      <c r="F5" s="192" t="str">
        <f ca="1">IF(ISERROR($V5),"",OFFSET('Smelter Look-up'!$E$4,$V5-4,0))</f>
        <v>CID003210</v>
      </c>
      <c r="G5" s="192" t="str">
        <f ca="1">IF(C5=$X$4,"Enter smelter details",IF(ISERROR($V5),"",OFFSET('Smelter Look-up'!$F$4,$V5-4,0)))</f>
        <v>RMI</v>
      </c>
      <c r="H5" s="193">
        <f ca="1">IF(ISERROR($V5),"",OFFSET('Smelter Look-up'!$G$4,$V5-4,0))</f>
        <v>0</v>
      </c>
      <c r="I5" s="194" t="str">
        <f ca="1">IF(ISERROR($V5),"",OFFSET('Smelter Look-up'!$H$4,$V5-4,0))</f>
        <v>Lanzhou</v>
      </c>
      <c r="J5" s="194" t="str">
        <f ca="1">IF(ISERROR($V5),"",OFFSET('Smelter Look-up'!$I$4,$V5-4,0))</f>
        <v>Gansu Sheng</v>
      </c>
      <c r="K5" s="196"/>
      <c r="L5" s="196"/>
      <c r="M5" s="196"/>
      <c r="N5" s="196"/>
      <c r="O5" s="196"/>
      <c r="P5" s="195"/>
      <c r="Q5" s="197"/>
      <c r="R5" s="192" t="str">
        <f ca="1">IF(ISERROR($V5),"",OFFSET('Smelter Look-up'!$C$4,$V5-4,0)&amp;"")</f>
        <v>Lanzhou Jinchuan Advanced Materials Technology Co., Ltd.</v>
      </c>
      <c r="S5" s="201" t="str">
        <f t="shared" ref="S5:S64" ca="1" si="0">IF(B5="","",IF(ISERROR(MATCH($E5,CL,0)),"Unknown",INDIRECT("'C'!$A$"&amp;MATCH($E5,CL,0)+1)))</f>
        <v>CN</v>
      </c>
      <c r="T5" s="201" t="str">
        <f ca="1">IF(B5="","",IF(ISERROR(MATCH($J5,SorP!$B$1:$B$6230,0)),"",INDIRECT("'SorP'!$A$"&amp;MATCH($J5,SorP!$B$1:$B$6230,0))))</f>
        <v>CN-GS</v>
      </c>
      <c r="U5" s="218"/>
      <c r="V5" s="219">
        <f ca="1">IF(C5="",NA(),MATCH($B5&amp;$C5,'Smelter Look-up'!$J:$J,0))</f>
        <v>35</v>
      </c>
      <c r="W5" s="220"/>
      <c r="X5" s="220">
        <f t="shared" ref="X5:X63" ca="1" si="1">IF(AND(C5="Smelter not listed",OR(LEN(D5)=0,LEN(E5)=0)),1,0)</f>
        <v>0</v>
      </c>
      <c r="Y5" s="220"/>
      <c r="Z5" s="220"/>
      <c r="AB5" s="221" t="str">
        <f t="shared" ref="AB5:AB63" ca="1" si="2">B5&amp;C5</f>
        <v>CobaltLanzhou Jinchuan Advanced Materials Technology Co., Ltd.</v>
      </c>
    </row>
    <row r="6" spans="1:34" s="221" customFormat="1" ht="20.25">
      <c r="A6" s="277" t="s">
        <v>12544</v>
      </c>
      <c r="B6" s="192" t="str">
        <f ca="1">IF(LEN(A6)=0,"",INDEX('Smelter Look-up'!$A:$A,MATCH($A6,'Smelter Look-up'!$E:$E,0)))</f>
        <v>Cobalt</v>
      </c>
      <c r="C6" s="198" t="str">
        <f ca="1">IF(LEN(A6)=0,"",INDEX('Smelter Look-up'!$C:$C,MATCH($A6,'Smelter Look-up'!$E:$E,0)))</f>
        <v>Zhejiang Huayou Cobalt Company Limited</v>
      </c>
      <c r="D6" s="192"/>
      <c r="E6" s="192" t="str">
        <f ca="1">IF(ISERROR($V6),"",OFFSET('Smelter Look-up'!$D$4,$V6-4,0)&amp;"")</f>
        <v>CHINA</v>
      </c>
      <c r="F6" s="192" t="str">
        <f ca="1">IF(ISERROR($V6),"",OFFSET('Smelter Look-up'!$E$4,$V6-4,0))</f>
        <v>CID003225</v>
      </c>
      <c r="G6" s="192" t="str">
        <f ca="1">IF(C6=$X$4,"Enter smelter details",IF(ISERROR($V6),"",OFFSET('Smelter Look-up'!$F$4,$V6-4,0)))</f>
        <v>RMI</v>
      </c>
      <c r="H6" s="193">
        <f ca="1">IF(ISERROR($V6),"",OFFSET('Smelter Look-up'!$G$4,$V6-4,0))</f>
        <v>0</v>
      </c>
      <c r="I6" s="194" t="str">
        <f ca="1">IF(ISERROR($V6),"",OFFSET('Smelter Look-up'!$H$4,$V6-4,0))</f>
        <v>Tongxiang</v>
      </c>
      <c r="J6" s="194" t="str">
        <f ca="1">IF(ISERROR($V6),"",OFFSET('Smelter Look-up'!$I$4,$V6-4,0))</f>
        <v>Zhejiang Sheng</v>
      </c>
      <c r="K6" s="196"/>
      <c r="L6" s="196"/>
      <c r="M6" s="196"/>
      <c r="N6" s="196"/>
      <c r="O6" s="196"/>
      <c r="P6" s="195"/>
      <c r="Q6" s="197"/>
      <c r="R6" s="192" t="str">
        <f ca="1">IF(ISERROR($V6),"",OFFSET('Smelter Look-up'!$C$4,$V6-4,0)&amp;"")</f>
        <v>Zhejiang Huayou Cobalt Company Limited</v>
      </c>
      <c r="S6" s="201" t="str">
        <f t="shared" ca="1" si="0"/>
        <v>CN</v>
      </c>
      <c r="T6" s="201" t="str">
        <f ca="1">IF(B6="","",IF(ISERROR(MATCH($J6,SorP!$B$1:$B$6230,0)),"",INDIRECT("'SorP'!$A$"&amp;MATCH($J6,SorP!$B$1:$B$6230,0))))</f>
        <v>CN-ZJ</v>
      </c>
      <c r="U6" s="218"/>
      <c r="V6" s="219">
        <f ca="1">IF(C6="",NA(),MATCH($B6&amp;$C6,'Smelter Look-up'!$J:$J,0))</f>
        <v>65</v>
      </c>
      <c r="W6" s="220"/>
      <c r="X6" s="220">
        <f t="shared" ca="1" si="1"/>
        <v>0</v>
      </c>
      <c r="Y6" s="220"/>
      <c r="Z6" s="220"/>
      <c r="AB6" s="221" t="str">
        <f t="shared" ca="1" si="2"/>
        <v>CobaltZhejiang Huayou Cobalt Company Limited</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0.65"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2.75" thickTop="1">
      <c r="U2501" s="222"/>
      <c r="V2501" s="222"/>
      <c r="W2501" s="222"/>
      <c r="X2501" s="222"/>
      <c r="Y2501" s="222"/>
      <c r="Z2501" s="222"/>
    </row>
    <row r="2502" spans="1:35" ht="12.7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tabSelected="1" workbookViewId="0">
      <pane xSplit="1" ySplit="3" topLeftCell="B35" activePane="bottomRight" state="frozen"/>
      <selection activeCell="B24" sqref="B24:J24"/>
      <selection pane="topRight" activeCell="B24" sqref="B24:J24"/>
      <selection pane="bottomLeft" activeCell="B24" sqref="B24:J24"/>
      <selection pane="bottomRight" activeCell="A4" sqref="A4"/>
    </sheetView>
  </sheetViews>
  <sheetFormatPr defaultColWidth="8.87890625" defaultRowHeight="12.4"/>
  <cols>
    <col min="1" max="1" width="45.05859375" style="17" customWidth="1"/>
    <col min="2" max="2" width="42.87890625" style="20" customWidth="1"/>
    <col min="3" max="3" width="51.46875" style="17" customWidth="1"/>
    <col min="4" max="4" width="29.05859375" style="20" customWidth="1"/>
    <col min="5" max="5" width="9" style="19" customWidth="1"/>
    <col min="6" max="6" width="13.46875" style="17" hidden="1" customWidth="1"/>
    <col min="7" max="7" width="13.29296875" style="17" hidden="1" customWidth="1"/>
    <col min="8" max="8" width="9" style="17" hidden="1" customWidth="1"/>
    <col min="9" max="9" width="9" style="156" hidden="1" customWidth="1"/>
    <col min="10" max="10" width="48.87890625" style="17" hidden="1" customWidth="1"/>
    <col min="11" max="11" width="9" style="17" hidden="1" customWidth="1"/>
    <col min="12" max="12" width="8.87890625" style="17" hidden="1" customWidth="1"/>
    <col min="13" max="13" width="8.87890625" style="17" customWidth="1"/>
    <col min="14" max="14" width="31.29296875" style="17" customWidth="1"/>
    <col min="15" max="26" width="8.87890625" style="17" customWidth="1"/>
    <col min="27" max="16384" width="8.8789062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4.65">
      <c r="A2" s="67" t="s">
        <v>494</v>
      </c>
      <c r="B2" s="68" t="str">
        <f>IF(F57=1,"Click here to return to Smelter List","")</f>
        <v>Click here to return to Smelter List</v>
      </c>
      <c r="C2" s="131" t="str">
        <f>IF(F56=1,"Click here to return to Product List","")</f>
        <v/>
      </c>
      <c r="D2" s="159" t="str">
        <f ca="1">IF(H62=0,"0",H62)</f>
        <v>0</v>
      </c>
    </row>
    <row r="3" spans="1:10" ht="14.6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8.25">
      <c r="A4" s="161" t="str">
        <f ca="1">Declaration!B8</f>
        <v>Company Name (*):</v>
      </c>
      <c r="B4" s="90" t="str">
        <f>Declaration!D8</f>
        <v>Cornell Dubilier Electronics</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8.25">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8.25">
      <c r="A6" s="91" t="str">
        <f ca="1">Declaration!B10</f>
        <v>Description of Scope:</v>
      </c>
      <c r="B6" s="90" t="str">
        <f>Declaration!D10</f>
        <v>One product series contains cobalt, type RJD supercapacitors</v>
      </c>
      <c r="C6" s="90" t="str">
        <f t="shared" ca="1" si="0"/>
        <v>Complete</v>
      </c>
      <c r="D6" s="96" t="str">
        <f>IF(H6=1,"Click here to provide a Description of Scope","")</f>
        <v/>
      </c>
      <c r="E6" s="74" t="s">
        <v>759</v>
      </c>
      <c r="F6" s="95">
        <f>IF(OR(B5=Declaration!P9,B5=Declaration!Q9,B5=0),0,1)</f>
        <v>0</v>
      </c>
      <c r="G6" s="71">
        <f t="shared" si="1"/>
        <v>0</v>
      </c>
      <c r="H6" s="72">
        <f t="shared" si="2"/>
        <v>0</v>
      </c>
      <c r="I6" s="157" t="str">
        <f ca="1">OFFSET(L!$C$1,MATCH("Checker"&amp;"Comp",L!$A:$A,0)-1,SL,,)</f>
        <v>Complete</v>
      </c>
      <c r="J6" s="17" t="str">
        <f ca="1">OFFSET(L!$C$1,MATCH("Checker"&amp;ADDRESS(ROW(),COLUMN(),4),L!$A:$A,0)-1,SL,,)</f>
        <v>Provide description of scope on Declaration tab cell D10</v>
      </c>
    </row>
    <row r="7" spans="1:10" ht="38.25">
      <c r="A7" s="161" t="str">
        <f ca="1">Declaration!B15</f>
        <v>Contact Name (*):</v>
      </c>
      <c r="B7" s="90" t="str">
        <f>Declaration!D15</f>
        <v>Stephen Smitth</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8.25">
      <c r="A8" s="161" t="str">
        <f ca="1">Declaration!B16</f>
        <v>Email – Contact (*):</v>
      </c>
      <c r="B8" s="90" t="str">
        <f>Declaration!D16</f>
        <v>compliance@cde.com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8.25">
      <c r="A9" s="161" t="str">
        <f ca="1">Declaration!B17</f>
        <v>Phone – Contact (*):</v>
      </c>
      <c r="B9" s="90" t="str">
        <f>Declaration!D17</f>
        <v>864-843-2277</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8.25">
      <c r="A10" s="161" t="str">
        <f ca="1">Declaration!B18</f>
        <v>Authorizer (*):</v>
      </c>
      <c r="B10" s="90" t="str">
        <f>Declaration!D18</f>
        <v>Stephen Smitth</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8.25">
      <c r="A11" s="91" t="str">
        <f ca="1">Declaration!B20</f>
        <v>Email - Authorizer (*):</v>
      </c>
      <c r="B11" s="90" t="str">
        <f>Declaration!D20</f>
        <v>compliance@cde.com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8.25">
      <c r="A12" s="91" t="str">
        <f ca="1">Declaration!B21</f>
        <v>Phone - Authorizer (*):</v>
      </c>
      <c r="B12" s="90" t="str">
        <f>Declaration!D21</f>
        <v>864-843-2277</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8.25">
      <c r="A13" s="91" t="str">
        <f ca="1">Declaration!B22</f>
        <v>Effective Date (*):</v>
      </c>
      <c r="B13" s="92">
        <f>Declaration!D22</f>
        <v>44060</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1.9">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5.9">
      <c r="A15" s="91" t="str">
        <f ca="1">Declaration!B26</f>
        <v>Cobalt(*)</v>
      </c>
      <c r="B15" s="90" t="str">
        <f>Declaration!D26</f>
        <v>Yes</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8.25"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8.25"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8.25"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49.5">
      <c r="A19" s="90" t="str">
        <f ca="1">Declaration!B31</f>
        <v>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49.5">
      <c r="A20" s="91" t="str">
        <f ca="1">Declaration!B32</f>
        <v>Cobalt(*)</v>
      </c>
      <c r="B20" s="90" t="str">
        <f>Declaration!D32</f>
        <v>No</v>
      </c>
      <c r="C20" s="162" t="str">
        <f t="shared" ca="1" si="3"/>
        <v>Complete</v>
      </c>
      <c r="D20" s="96" t="str">
        <f>IF(H20=1,"Click here to answer question 2 for Cobalt","")</f>
        <v/>
      </c>
      <c r="E20" s="74" t="s">
        <v>450</v>
      </c>
      <c r="F20" s="95">
        <f>IF(OR(B$15="No",B$15="Unknown"),0,1)</f>
        <v>1</v>
      </c>
      <c r="G20" s="71">
        <f t="shared" ref="G20:G55" si="5">IF(B20=0,1,0)</f>
        <v>0</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8.25"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8.25"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8.25"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7.15">
      <c r="A24" s="90" t="str">
        <f ca="1">Declaration!B37</f>
        <v>3) Does 100 percent of the cobalt originate from recycled or scrap sources? (*)</v>
      </c>
      <c r="B24" s="93"/>
      <c r="C24" s="93"/>
      <c r="D24" s="97"/>
      <c r="E24" s="74" t="s">
        <v>759</v>
      </c>
      <c r="F24" s="94"/>
      <c r="G24" s="19"/>
      <c r="H24" s="19"/>
      <c r="J24" s="158"/>
    </row>
    <row r="25" spans="1:10" ht="38.25">
      <c r="A25" s="91" t="str">
        <f ca="1">Declaration!B38</f>
        <v>Cobalt(*)</v>
      </c>
      <c r="B25" s="90" t="str">
        <f>Declaration!D38</f>
        <v>Unknown</v>
      </c>
      <c r="C25" s="162" t="str">
        <f ca="1">IF(H25=1,J25,I25)</f>
        <v>Complete</v>
      </c>
      <c r="D25" s="96" t="str">
        <f>IF(H25=1,"Click here to answer question 3 for Cobalt","")</f>
        <v/>
      </c>
      <c r="E25" s="74" t="s">
        <v>759</v>
      </c>
      <c r="F25" s="95">
        <f>F20</f>
        <v>1</v>
      </c>
      <c r="G25" s="71">
        <f>IF(B25=0,1,0)</f>
        <v>0</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8.25"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8.25"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8.25"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7.15">
      <c r="A29" s="90" t="str">
        <f ca="1">Declaration!B43</f>
        <v>4) What percentage of relevant suppliers have provided a response to your supply chain survey?(*)</v>
      </c>
      <c r="B29" s="93"/>
      <c r="C29" s="93"/>
      <c r="D29" s="97"/>
      <c r="E29" s="74" t="s">
        <v>450</v>
      </c>
      <c r="F29" s="94"/>
      <c r="G29" s="19"/>
      <c r="H29" s="19"/>
    </row>
    <row r="30" spans="1:10" ht="25.9">
      <c r="A30" s="91" t="str">
        <f ca="1">Declaration!B44</f>
        <v>Cobalt(*)</v>
      </c>
      <c r="B30" s="90">
        <f>Declaration!D44</f>
        <v>1</v>
      </c>
      <c r="C30" s="162" t="str">
        <f t="shared" ca="1" si="3"/>
        <v>Complete</v>
      </c>
      <c r="D30" s="98" t="str">
        <f>IF(H30=1,"Click here to answer question 4 for Cobalt","")</f>
        <v/>
      </c>
      <c r="E30" s="74" t="s">
        <v>449</v>
      </c>
      <c r="F30" s="95">
        <f>F20</f>
        <v>1</v>
      </c>
      <c r="G30" s="71">
        <f t="shared" si="5"/>
        <v>0</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5.9"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5.9"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5.9"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49.5">
      <c r="A34" s="90" t="str">
        <f ca="1">Declaration!B49</f>
        <v>5) Have you identified all of the smelters supplying the cobalt to your supply chain? (*)</v>
      </c>
      <c r="B34" s="93"/>
      <c r="C34" s="93"/>
      <c r="D34" s="97"/>
      <c r="E34" s="74" t="s">
        <v>451</v>
      </c>
      <c r="F34" s="94"/>
      <c r="G34" s="19"/>
      <c r="H34" s="19"/>
    </row>
    <row r="35" spans="1:10" ht="50.65">
      <c r="A35" s="91" t="str">
        <f ca="1">Declaration!B50</f>
        <v>Cobalt(*)</v>
      </c>
      <c r="B35" s="90" t="str">
        <f>Declaration!D50</f>
        <v>Yes</v>
      </c>
      <c r="C35" s="162" t="str">
        <f t="shared" ca="1" si="3"/>
        <v>Complete</v>
      </c>
      <c r="D35" s="98" t="str">
        <f>IF(H35=1,"Click here to answer question 5 for Cobalt","")</f>
        <v/>
      </c>
      <c r="E35" s="74" t="s">
        <v>758</v>
      </c>
      <c r="F35" s="95">
        <f>F20</f>
        <v>1</v>
      </c>
      <c r="G35" s="71">
        <f t="shared" si="5"/>
        <v>0</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0.6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0.6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0.6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1.9">
      <c r="A39" s="90" t="str">
        <f ca="1">Declaration!B55</f>
        <v>6) Has all applicable smelter information received by your company been reported in this declaration? (*)</v>
      </c>
      <c r="B39" s="93"/>
      <c r="C39" s="93"/>
      <c r="D39" s="97"/>
      <c r="E39" s="74" t="s">
        <v>452</v>
      </c>
      <c r="F39" s="94"/>
      <c r="G39" s="19"/>
      <c r="H39" s="19"/>
    </row>
    <row r="40" spans="1:10" ht="38.25">
      <c r="A40" s="91" t="str">
        <f ca="1">Declaration!B56</f>
        <v>Cobalt(*)</v>
      </c>
      <c r="B40" s="90" t="str">
        <f>Declaration!D56</f>
        <v>Yes</v>
      </c>
      <c r="C40" s="162" t="str">
        <f t="shared" ca="1" si="3"/>
        <v>Complete</v>
      </c>
      <c r="D40" s="98" t="str">
        <f>IF(H40=1,"Click here to answer question 6 for Cobalt","")</f>
        <v/>
      </c>
      <c r="E40" s="74" t="s">
        <v>450</v>
      </c>
      <c r="F40" s="95">
        <f>F20</f>
        <v>1</v>
      </c>
      <c r="G40" s="71">
        <f t="shared" si="5"/>
        <v>0</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8.25"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8.25"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8.25"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4.75">
      <c r="A44" s="90" t="str">
        <f ca="1">Declaration!B62</f>
        <v>Question</v>
      </c>
      <c r="B44" s="93"/>
      <c r="C44" s="93"/>
      <c r="D44" s="97"/>
      <c r="E44" s="74" t="s">
        <v>339</v>
      </c>
      <c r="F44" s="94"/>
      <c r="G44" s="94"/>
      <c r="H44" s="94"/>
    </row>
    <row r="45" spans="1:10" ht="38.25">
      <c r="A45" s="90" t="str">
        <f ca="1">Declaration!B63</f>
        <v>A. Have you established a publicly available cobalt sourcing policy?(*)</v>
      </c>
      <c r="B45" s="90" t="str">
        <f>Declaration!D63</f>
        <v>No</v>
      </c>
      <c r="C45" s="162" t="str">
        <f t="shared" ca="1" si="3"/>
        <v>Complete</v>
      </c>
      <c r="D45" s="268" t="str">
        <f>IF(H45=1,"Click here to answer question (A)","")</f>
        <v/>
      </c>
      <c r="E45" s="74" t="s">
        <v>759</v>
      </c>
      <c r="F45" s="95">
        <f>IF(SUM(F$20:F$23)=0,0,1)</f>
        <v>1</v>
      </c>
      <c r="G45" s="71">
        <f t="shared" si="5"/>
        <v>0</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4.2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49.5">
      <c r="A47" s="90" t="str">
        <f ca="1">Declaration!B65</f>
        <v>B. Does your policy cover, at a minimum, all risks in the OECD Due Diligence Guidance Annex II Model Policy, as well as the worst forms of child labor? (*)</v>
      </c>
      <c r="B47" s="90" t="str">
        <f>Declaration!D65</f>
        <v>Yes</v>
      </c>
      <c r="C47" s="162" t="str">
        <f ca="1">IF(H47=1,J47,I47)</f>
        <v>Complete</v>
      </c>
      <c r="D47" s="269" t="str">
        <f>IF(H47=1,"Click here to answer question (B)","")</f>
        <v/>
      </c>
      <c r="E47" s="74" t="s">
        <v>759</v>
      </c>
      <c r="F47" s="95">
        <f t="shared" ref="F47:F55" si="7">F$45</f>
        <v>1</v>
      </c>
      <c r="G47" s="71">
        <f>IF(B47=0,1,0)</f>
        <v>0</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25">
      <c r="A48" s="90" t="str">
        <f ca="1">Declaration!B67</f>
        <v>C. Have you implemented due diligence measures for cobalt in the declaration scope indicated above? (*)</v>
      </c>
      <c r="B48" s="90" t="str">
        <f>Declaration!D67</f>
        <v>Yes</v>
      </c>
      <c r="C48" s="162" t="str">
        <f t="shared" ca="1" si="3"/>
        <v>Complete</v>
      </c>
      <c r="D48" s="269" t="str">
        <f>IF(H48=1,"Click here to answer question (C)","")</f>
        <v/>
      </c>
      <c r="E48" s="74" t="s">
        <v>759</v>
      </c>
      <c r="F48" s="95">
        <f t="shared" si="7"/>
        <v>1</v>
      </c>
      <c r="G48" s="71">
        <f t="shared" si="5"/>
        <v>0</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8.25">
      <c r="A49" s="90" t="str">
        <f ca="1">Declaration!B69</f>
        <v>D. Do you require suppliers to exercise due diligence over the cobalt supply chain in accordance with the OECD Due Diligence Guidance? (*)</v>
      </c>
      <c r="B49" s="90" t="str">
        <f>Declaration!D69</f>
        <v>No</v>
      </c>
      <c r="C49" s="162" t="str">
        <f t="shared" ca="1" si="3"/>
        <v>Complete</v>
      </c>
      <c r="D49" s="269" t="str">
        <f>IF(H49=1,"Click here to answer question (D)","")</f>
        <v/>
      </c>
      <c r="E49" s="74" t="s">
        <v>759</v>
      </c>
      <c r="F49" s="95">
        <f t="shared" si="7"/>
        <v>1</v>
      </c>
      <c r="G49" s="71">
        <f t="shared" si="5"/>
        <v>0</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9.5">
      <c r="A50" s="90" t="str">
        <f ca="1">Declaration!B71</f>
        <v>E. Do you require your direct suppliers to source cobalt from smelters whose due diligence practices have been validated by an independent third party audit program? (*)</v>
      </c>
      <c r="B50" s="90" t="str">
        <f>Declaration!D71</f>
        <v>Yes</v>
      </c>
      <c r="C50" s="162" t="str">
        <f t="shared" ca="1" si="3"/>
        <v>Complete</v>
      </c>
      <c r="D50" s="269" t="str">
        <f>IF(H50=1,"Click here to answer question (E)","")</f>
        <v/>
      </c>
      <c r="E50" s="74" t="s">
        <v>759</v>
      </c>
      <c r="F50" s="95">
        <f t="shared" si="7"/>
        <v>1</v>
      </c>
      <c r="G50" s="71">
        <f t="shared" si="5"/>
        <v>0</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49.5">
      <c r="A51" s="90" t="str">
        <f ca="1">Declaration!B73</f>
        <v>F. Do you require suppliers' due diligence practices to cover, at a minimum, all risks in the OECD Due Diligence Guidance Annex II Model Policy, as well as the worst forms of child labor? (*)</v>
      </c>
      <c r="B51" s="90" t="str">
        <f>Declaration!D73</f>
        <v>Yes</v>
      </c>
      <c r="C51" s="162" t="str">
        <f t="shared" ca="1" si="3"/>
        <v>Complete</v>
      </c>
      <c r="D51" s="269" t="str">
        <f>IF(H51=1,"Click here to answer question (F)","")</f>
        <v/>
      </c>
      <c r="E51" s="74" t="s">
        <v>759</v>
      </c>
      <c r="F51" s="95">
        <f t="shared" si="7"/>
        <v>1</v>
      </c>
      <c r="G51" s="71">
        <f t="shared" si="5"/>
        <v>0</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8.25">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2" t="str">
        <f t="shared" ca="1" si="3"/>
        <v>Complete</v>
      </c>
      <c r="D53" s="269" t="str">
        <f>IF(H53=1,"Click here to answer question (G)","")</f>
        <v/>
      </c>
      <c r="E53" s="74" t="s">
        <v>759</v>
      </c>
      <c r="F53" s="95">
        <f t="shared" si="7"/>
        <v>1</v>
      </c>
      <c r="G53" s="71">
        <f t="shared" si="5"/>
        <v>0</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8.25">
      <c r="A54" s="90" t="str">
        <f ca="1">Declaration!B77</f>
        <v>H. Do you review due diligence information received from your suppliers against your company’s expectations? (*)</v>
      </c>
      <c r="B54" s="90" t="str">
        <f>Declaration!D77</f>
        <v>No</v>
      </c>
      <c r="C54" s="162" t="str">
        <f t="shared" ca="1" si="3"/>
        <v>Complete</v>
      </c>
      <c r="D54" s="269" t="str">
        <f>IF(H54=1,"Click here to answer question (H)","")</f>
        <v/>
      </c>
      <c r="E54" s="74" t="s">
        <v>759</v>
      </c>
      <c r="F54" s="95">
        <f t="shared" si="7"/>
        <v>1</v>
      </c>
      <c r="G54" s="71">
        <f t="shared" si="5"/>
        <v>0</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8.25">
      <c r="A55" s="90" t="str">
        <f ca="1">Declaration!B79</f>
        <v>I. Does your review process include corrective action management? (*)</v>
      </c>
      <c r="B55" s="90" t="str">
        <f>Declaration!D79</f>
        <v>No</v>
      </c>
      <c r="C55" s="162" t="str">
        <f t="shared" ca="1" si="3"/>
        <v>Complete</v>
      </c>
      <c r="D55" s="269" t="str">
        <f>IF(H55=1,"Click here to answer question (I)","")</f>
        <v/>
      </c>
      <c r="E55" s="74" t="s">
        <v>759</v>
      </c>
      <c r="F55" s="95">
        <f t="shared" si="7"/>
        <v>1</v>
      </c>
      <c r="G55" s="71">
        <f t="shared" si="5"/>
        <v>0</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8.25">
      <c r="A56" s="91" t="s">
        <v>719</v>
      </c>
      <c r="B56" s="90" t="str">
        <f>IF(H56=1,"No products or item numbers listed","One or more product / item numbers have been provided")</f>
        <v>One or more product / item numbers have been provided</v>
      </c>
      <c r="C56" s="90" t="str">
        <f ca="1">IF(H56=0,I56,J56)</f>
        <v>Complete</v>
      </c>
      <c r="D56" s="96" t="str">
        <f>IF(H56=1,"Click here to enter detail on Product List tab","")</f>
        <v/>
      </c>
      <c r="E56" s="74" t="s">
        <v>759</v>
      </c>
      <c r="F56" s="95">
        <f>IF(B5="B. Product Level",1,0)</f>
        <v>0</v>
      </c>
      <c r="G56" s="71">
        <f>IF((COUNTIF('Product List'!B$6:B$1000,"&lt;&gt;"&amp;"")&gt;0),1,0)</f>
        <v>1</v>
      </c>
      <c r="H56" s="72">
        <f>IF((COUNTIF('Product List'!B$6:B$1000,"&lt;&gt;"&amp;"")&gt;0),0,1)</f>
        <v>0</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8.25">
      <c r="A57" s="161" t="s">
        <v>11715</v>
      </c>
      <c r="B57" s="90"/>
      <c r="C57" s="162" t="str">
        <f ca="1">IF(K57=1,L57,IF(B15="No","Not Required",IF(G57=0,I57,J57)))</f>
        <v>Complete</v>
      </c>
      <c r="D57" s="96" t="str">
        <f ca="1">IF(H57=0,"","Click here to provide smelter information")</f>
        <v/>
      </c>
      <c r="E57" s="74" t="s">
        <v>759</v>
      </c>
      <c r="F57" s="95">
        <f>F$45</f>
        <v>1</v>
      </c>
      <c r="G57" s="71">
        <f ca="1">IF(AND(COUNTIF(SmelterIdetifiedForMetal,"Cobalt")&gt;0,COUNTIF('Smelter List'!AB$5:AB$2500,"Cobalt?*")&gt;0),0,1)</f>
        <v>0</v>
      </c>
      <c r="H57" s="72">
        <f ca="1">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8.25" hidden="1">
      <c r="A58" s="250"/>
      <c r="B58" s="251"/>
      <c r="C58" s="251"/>
      <c r="D58" s="96"/>
      <c r="E58" s="74" t="s">
        <v>450</v>
      </c>
      <c r="F58" s="95">
        <f>F$45</f>
        <v>1</v>
      </c>
      <c r="G58" s="71">
        <f ca="1">IF(COUNTIF('Smelter List'!C5:C9,"")&lt;10,0,1)</f>
        <v>0</v>
      </c>
      <c r="H58" s="72" t="e">
        <f ca="1">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8.25" hidden="1">
      <c r="A59" s="250"/>
      <c r="B59" s="251"/>
      <c r="C59" s="251"/>
      <c r="D59" s="96"/>
      <c r="E59" s="74" t="s">
        <v>450</v>
      </c>
      <c r="F59" s="95">
        <f>F$45</f>
        <v>1</v>
      </c>
      <c r="G59" s="71">
        <f ca="1">IF(COUNTIF('Smelter List'!C5:C10,"")&lt;10,0,1)</f>
        <v>0</v>
      </c>
      <c r="H59" s="72" t="e">
        <f ca="1">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8.25" hidden="1">
      <c r="A60" s="250"/>
      <c r="B60" s="251"/>
      <c r="C60" s="251"/>
      <c r="D60" s="96"/>
      <c r="E60" s="74" t="s">
        <v>450</v>
      </c>
      <c r="F60" s="95">
        <f>F$45</f>
        <v>1</v>
      </c>
      <c r="G60" s="71">
        <f ca="1">IF(COUNTIF('Smelter List'!C5:C11,"")&lt;10,0,1)</f>
        <v>0</v>
      </c>
      <c r="H60" s="72" t="e">
        <f ca="1">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4.7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 ca="1">SUM(H4:H57)</f>
        <v>0</v>
      </c>
    </row>
    <row r="63" spans="1:12">
      <c r="A63" s="19"/>
    </row>
    <row r="64" spans="1:12">
      <c r="A64" s="19"/>
    </row>
    <row r="65" spans="1:1" ht="12.75" thickBot="1">
      <c r="A65" s="19"/>
    </row>
  </sheetData>
  <sheetProtection algorithmName="SHA-512" hashValue="5HCHWKslqNth0EF3Ry5wUN2mFHaWd4N//4DfZfc1Zv2l3fMYi/VMsMZti4tPpwJha+GokzbKRbLPOPSoRoLlHQ==" saltValue="u3HbZvrXekR7bNxe0C+Ua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D7" sqref="D7"/>
    </sheetView>
  </sheetViews>
  <sheetFormatPr defaultColWidth="8.87890625" defaultRowHeight="12.4"/>
  <cols>
    <col min="1" max="1" width="3.05859375" style="103" customWidth="1"/>
    <col min="2" max="2" width="39.87890625" style="104" customWidth="1"/>
    <col min="3" max="3" width="39.87890625" style="103" customWidth="1"/>
    <col min="4" max="4" width="58.87890625" style="103" customWidth="1"/>
    <col min="5" max="5" width="1.703125" style="103" customWidth="1"/>
    <col min="6" max="6" width="71.87890625" customWidth="1"/>
    <col min="7" max="35" width="9" customWidth="1"/>
    <col min="36" max="16384" width="8.8789062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ht="12.75">
      <c r="A2" s="23"/>
      <c r="B2" s="128"/>
      <c r="C2" s="128"/>
      <c r="D2"/>
      <c r="E2" s="24"/>
    </row>
    <row r="3" spans="1:35" ht="12.75">
      <c r="A3" s="23"/>
      <c r="B3" s="128"/>
      <c r="C3" s="128"/>
      <c r="D3" s="128"/>
      <c r="E3" s="24"/>
    </row>
    <row r="4" spans="1:35" ht="15.75" customHeight="1">
      <c r="A4" s="23"/>
      <c r="B4" s="417" t="s">
        <v>494</v>
      </c>
      <c r="C4" s="417"/>
      <c r="D4" s="417"/>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t="s">
        <v>14048</v>
      </c>
      <c r="C6" s="100" t="s">
        <v>14049</v>
      </c>
      <c r="D6" s="100" t="s">
        <v>14050</v>
      </c>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2.7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890625" defaultRowHeight="12.4"/>
  <cols>
    <col min="1" max="1" width="9.05859375" style="203" bestFit="1" customWidth="1"/>
    <col min="2" max="2" width="42.87890625" style="203" customWidth="1"/>
    <col min="3" max="3" width="40.05859375" style="203" customWidth="1"/>
    <col min="4" max="4" width="22.87890625" style="203" customWidth="1"/>
    <col min="5" max="5" width="12.703125" style="203" customWidth="1"/>
    <col min="6" max="6" width="12.703125" style="204" customWidth="1"/>
    <col min="7" max="7" width="15.29296875" style="203" customWidth="1"/>
    <col min="8" max="8" width="23.87890625" style="203" customWidth="1"/>
    <col min="9" max="9" width="28.05859375" style="203" customWidth="1"/>
    <col min="10" max="10" width="38.703125" style="203" hidden="1" customWidth="1"/>
    <col min="11" max="11" width="24.05859375" style="203" hidden="1" customWidth="1"/>
    <col min="12" max="12" width="17.46875" style="203" customWidth="1"/>
    <col min="13" max="13" width="16.05859375" style="203" customWidth="1"/>
    <col min="14" max="16384" width="8.8789062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49.5">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A264" zoomScale="55" zoomScaleNormal="55" workbookViewId="0">
      <selection activeCell="N277" sqref="N277"/>
    </sheetView>
  </sheetViews>
  <sheetFormatPr defaultColWidth="8.703125" defaultRowHeight="13.5"/>
  <cols>
    <col min="1" max="1" width="14.703125" style="149" customWidth="1"/>
    <col min="2" max="2" width="14" style="149" customWidth="1"/>
    <col min="3" max="3" width="6.05859375" style="149" customWidth="1"/>
    <col min="4" max="4" width="50.87890625" style="149" customWidth="1"/>
    <col min="5" max="5" width="45.87890625" style="256" customWidth="1"/>
    <col min="6" max="6" width="61.64453125" style="150" customWidth="1"/>
    <col min="7" max="7" width="61.64453125" style="149" customWidth="1"/>
    <col min="8" max="11" width="40" style="149" customWidth="1"/>
    <col min="12" max="12" width="40" style="172" customWidth="1"/>
    <col min="13" max="13" width="40" style="245" customWidth="1"/>
    <col min="14" max="16384" width="8.70312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94.5">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67.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7">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4">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4">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4">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4">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67.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27">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21.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0.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94.5">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0.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40.5">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4">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02.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40.5">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21.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4">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43">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29.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35">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175.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85.5">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37.5">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14">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29.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391.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48.5">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3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43">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283.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56.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08">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08">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99.75">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94.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67.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171">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94.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08">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48.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94.5">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67.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67.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1">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21.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16">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43">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14">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4">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43">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4">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16">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189">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3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54">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ht="13.9">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7">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7">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5.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13.9">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7">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7">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7">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08">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81">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189">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29.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0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67.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189">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75.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4.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62">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0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67.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21.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351">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51">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162">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08">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7">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7">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7">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54">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57">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81">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7">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7">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0.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0.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0.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7">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13.9">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13.9">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13.9">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7">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7">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7">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7">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13.9">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0.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67.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08">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54">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67.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67.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1">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7">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28.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08">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81">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94.5">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08">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21.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67.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1">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54">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14.2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14.2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14.2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14.2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14.2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28.5">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28.5">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7">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7">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7">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7">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7">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7">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7">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7">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7">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7">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7">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1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14.2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5.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1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7">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40.5">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54">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54">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0.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7">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7">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7">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7">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7">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67.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5.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0.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0.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0.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0.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0.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0.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4">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4">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4">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0.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4">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4">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40.5">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4">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81">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81">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81">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81">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81">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81">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1">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81">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4">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4">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4">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4">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67.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67.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67.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67.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4">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4">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4">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4">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67.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67.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81">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54">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08">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67.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67.900000000000006">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4">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54">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4">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54">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54">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54">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4">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54">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7">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7">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7">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7">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0.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4">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13.9">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13.9">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13.9">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7.7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81">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7">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27">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81">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7">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0.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81">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3A31AC35AA7FE498B2B0380CDA13CA3" ma:contentTypeVersion="11" ma:contentTypeDescription="Create a new document." ma:contentTypeScope="" ma:versionID="56450e3d4fda3b71c477453b4ad5de56">
  <xsd:schema xmlns:xsd="http://www.w3.org/2001/XMLSchema" xmlns:xs="http://www.w3.org/2001/XMLSchema" xmlns:p="http://schemas.microsoft.com/office/2006/metadata/properties" xmlns:ns2="0bce50e4-b9bd-41c1-b900-2fcc6d21781e" xmlns:ns3="42cc0a72-4285-46ac-9349-f8672c35412a" targetNamespace="http://schemas.microsoft.com/office/2006/metadata/properties" ma:root="true" ma:fieldsID="5cd144bb6ca1c087528a18ec5f7d7ae6" ns2:_="" ns3:_="">
    <xsd:import namespace="0bce50e4-b9bd-41c1-b900-2fcc6d21781e"/>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e50e4-b9bd-41c1-b900-2fcc6d2178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2cc0a72-4285-46ac-9349-f8672c35412a">
      <UserInfo>
        <DisplayName>Helen Bulhoes</DisplayName>
        <AccountId>30</AccountId>
        <AccountType/>
      </UserInfo>
    </SharedWithUsers>
  </documentManagement>
</p:properties>
</file>

<file path=customXml/itemProps1.xml><?xml version="1.0" encoding="utf-8"?>
<ds:datastoreItem xmlns:ds="http://schemas.openxmlformats.org/officeDocument/2006/customXml" ds:itemID="{8DEDC361-0DC1-48F6-8BD6-8BA4B8E41FE8}">
  <ds:schemaRefs>
    <ds:schemaRef ds:uri="http://schemas.microsoft.com/sharepoint/v3/contenttype/forms"/>
  </ds:schemaRefs>
</ds:datastoreItem>
</file>

<file path=customXml/itemProps2.xml><?xml version="1.0" encoding="utf-8"?>
<ds:datastoreItem xmlns:ds="http://schemas.openxmlformats.org/officeDocument/2006/customXml" ds:itemID="{2AEC994A-62B0-434C-88F2-07C439DC27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e50e4-b9bd-41c1-b900-2fcc6d21781e"/>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2B8A6D-9D9E-404C-89C3-A0FA69924BE3}">
  <ds:schemaRefs>
    <ds:schemaRef ds:uri="http://schemas.microsoft.com/office/2006/metadata/properties"/>
    <ds:schemaRef ds:uri="http://schemas.microsoft.com/office/infopath/2007/PartnerControls"/>
    <ds:schemaRef ds:uri="42cc0a72-4285-46ac-9349-f8672c35412a"/>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Stephen Smith</cp:lastModifiedBy>
  <cp:lastPrinted>2015-04-21T20:47:43Z</cp:lastPrinted>
  <dcterms:created xsi:type="dcterms:W3CDTF">2010-06-21T21:00:23Z</dcterms:created>
  <dcterms:modified xsi:type="dcterms:W3CDTF">2020-08-21T13:54:07Z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0x010100A3A31AC35AA7FE498B2B0380CDA13CA3</vt:lpwstr>
  </property>
</Properties>
</file>